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1"/>
  </bookViews>
  <sheets>
    <sheet name="лютий" sheetId="1" r:id="rId1"/>
    <sheet name="січень" sheetId="2" r:id="rId2"/>
  </sheets>
  <definedNames/>
  <calcPr fullCalcOnLoad="1"/>
</workbook>
</file>

<file path=xl/sharedStrings.xml><?xml version="1.0" encoding="utf-8"?>
<sst xmlns="http://schemas.openxmlformats.org/spreadsheetml/2006/main" count="348" uniqueCount="169">
  <si>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</si>
  <si>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</si>
  <si>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</si>
  <si>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</si>
  <si>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</si>
  <si>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</si>
  <si>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</si>
  <si>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</si>
  <si>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</si>
  <si>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</si>
  <si>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</si>
  <si>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</si>
  <si>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</si>
  <si>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</si>
  <si>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</si>
  <si>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</si>
  <si>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</si>
  <si>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</si>
  <si>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</si>
  <si>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</si>
  <si>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</si>
  <si>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</si>
  <si>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</si>
  <si>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</si>
  <si>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</si>
  <si>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</si>
  <si>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</si>
  <si>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</si>
  <si>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</si>
  <si>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</si>
  <si>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</si>
  <si>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</si>
  <si>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</si>
  <si>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</si>
  <si>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</si>
  <si>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</si>
  <si>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</si>
  <si>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</si>
  <si>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</si>
  <si>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</si>
  <si>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</si>
  <si>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</si>
  <si>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</si>
  <si>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</si>
  <si>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</si>
  <si>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</si>
  <si>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</si>
  <si>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</si>
  <si>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</si>
  <si>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</si>
  <si>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</si>
  <si>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</si>
  <si>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</si>
  <si>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</si>
  <si>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</si>
  <si>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</si>
  <si>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</si>
  <si>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</si>
  <si>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</si>
  <si>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</si>
  <si>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</si>
  <si>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</si>
  <si>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</si>
  <si>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</si>
  <si>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</si>
  <si>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</si>
  <si>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</si>
  <si>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</si>
  <si>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</si>
  <si>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</si>
  <si>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</si>
  <si>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</si>
  <si>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</si>
  <si>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</si>
  <si>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</si>
  <si>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</si>
  <si>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</si>
  <si>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</si>
  <si>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</si>
  <si>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</si>
  <si>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</si>
  <si>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</si>
  <si>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</si>
  <si>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</si>
  <si>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</si>
  <si>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</si>
  <si>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</si>
  <si>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</si>
  <si>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</si>
  <si>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</si>
  <si>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</si>
  <si>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</si>
  <si>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</si>
  <si>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</si>
  <si>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</si>
  <si>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</si>
  <si>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</si>
  <si>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</si>
  <si>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</si>
  <si>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</si>
  <si>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</si>
  <si>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</si>
  <si>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</si>
  <si>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</si>
  <si>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</si>
  <si>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</si>
  <si>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</si>
  <si>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</si>
  <si>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</si>
  <si>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податки, що контролюються ДПІ</t>
  </si>
  <si>
    <t>податки, що не контролюються ДПІ</t>
  </si>
  <si>
    <t>ВСЬОГО</t>
  </si>
  <si>
    <t>Власні надходження бюджетних установ</t>
  </si>
  <si>
    <t>Всього доходи з офіційними трансфертами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</si>
  <si>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</si>
  <si>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</si>
  <si>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зф</t>
  </si>
  <si>
    <t>сф</t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</si>
  <si>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</si>
  <si>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</si>
  <si>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</si>
  <si>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</si>
  <si>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</si>
  <si>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</si>
  <si>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</si>
  <si>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t>ЦНАП</t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</si>
  <si>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</si>
  <si>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</si>
  <si>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</si>
  <si>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</si>
  <si>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</si>
  <si>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t>плата за надання адмінпослуг (220100)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</si>
  <si>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</si>
  <si>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</si>
  <si>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</si>
  <si>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</si>
  <si>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</si>
  <si>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</si>
  <si>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</si>
  <si>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</si>
  <si>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</si>
  <si>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</si>
  <si>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</si>
  <si>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</si>
  <si>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інші надходження (24060000)</t>
  </si>
  <si>
    <t>ВСІ інші  податки і збори</t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</si>
  <si>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</si>
  <si>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</si>
  <si>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</si>
  <si>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</si>
  <si>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</si>
  <si>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</si>
  <si>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</si>
  <si>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</si>
  <si>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</si>
  <si>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</si>
  <si>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</si>
  <si>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</si>
  <si>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</si>
  <si>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</si>
  <si>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</si>
  <si>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</si>
  <si>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</si>
  <si>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</si>
  <si>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</si>
  <si>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</si>
  <si>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</si>
  <si>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15.02.2018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</si>
  <si>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14.02.18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</si>
</sst>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5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4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6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31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3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4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5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5" fillId="0" borderId="10" xfId="0" applyNumberFormat="1" applyFont="1" applyFill="1" applyBorder="1" applyAlignment="1" applyProtection="1">
      <alignment horizontal="right"/>
      <protection/>
    </xf>
    <xf numFmtId="182" fontId="35" fillId="36" borderId="10" xfId="0" applyNumberFormat="1" applyFont="1" applyFill="1" applyBorder="1" applyAlignment="1" applyProtection="1">
      <alignment horizontal="right"/>
      <protection locked="0"/>
    </xf>
    <xf numFmtId="182" fontId="35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5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5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3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5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Fill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2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6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7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5" fillId="0" borderId="10" xfId="0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3" fillId="39" borderId="10" xfId="0" applyNumberFormat="1" applyFont="1" applyFill="1" applyBorder="1" applyAlignment="1">
      <alignment/>
    </xf>
    <xf numFmtId="182" fontId="83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40" borderId="10" xfId="0" applyNumberFormat="1" applyFont="1" applyFill="1" applyBorder="1" applyAlignment="1" applyProtection="1">
      <alignment/>
      <protection/>
    </xf>
    <xf numFmtId="191" fontId="3" fillId="40" borderId="10" xfId="0" applyNumberFormat="1" applyFont="1" applyFill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49" fontId="3" fillId="40" borderId="10" xfId="0" applyNumberFormat="1" applyFont="1" applyFill="1" applyBorder="1" applyAlignment="1" applyProtection="1">
      <alignment horizontal="center" vertical="center" wrapText="1"/>
      <protection/>
    </xf>
    <xf numFmtId="0" fontId="10" fillId="40" borderId="10" xfId="55" applyFont="1" applyFill="1" applyBorder="1" applyProtection="1">
      <alignment/>
      <protection/>
    </xf>
    <xf numFmtId="182" fontId="3" fillId="40" borderId="10" xfId="55" applyNumberFormat="1" applyFont="1" applyFill="1" applyBorder="1" applyProtection="1">
      <alignment/>
      <protection/>
    </xf>
    <xf numFmtId="182" fontId="3" fillId="40" borderId="10" xfId="0" applyNumberFormat="1" applyFont="1" applyFill="1" applyBorder="1" applyAlignment="1" applyProtection="1">
      <alignment horizontal="right"/>
      <protection/>
    </xf>
    <xf numFmtId="0" fontId="3" fillId="40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1" borderId="10" xfId="55" applyFont="1" applyFill="1" applyBorder="1" applyAlignment="1" applyProtection="1">
      <alignment horizontal="left" vertical="center" wrapText="1"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4" xfId="55" applyFont="1" applyFill="1" applyBorder="1" applyAlignment="1" applyProtection="1">
      <alignment horizontal="left" vertical="center" wrapText="1"/>
      <protection/>
    </xf>
    <xf numFmtId="0" fontId="7" fillId="41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4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5" fillId="37" borderId="10" xfId="0" applyNumberFormat="1" applyFont="1" applyFill="1" applyBorder="1" applyAlignment="1" applyProtection="1">
      <alignment/>
      <protection/>
    </xf>
    <xf numFmtId="182" fontId="35" fillId="43" borderId="10" xfId="0" applyNumberFormat="1" applyFont="1" applyFill="1" applyBorder="1" applyAlignment="1" applyProtection="1">
      <alignment horizontal="right"/>
      <protection/>
    </xf>
    <xf numFmtId="182" fontId="38" fillId="0" borderId="10" xfId="0" applyNumberFormat="1" applyFont="1" applyBorder="1" applyAlignment="1" applyProtection="1">
      <alignment/>
      <protection/>
    </xf>
    <xf numFmtId="191" fontId="38" fillId="0" borderId="10" xfId="0" applyNumberFormat="1" applyFont="1" applyBorder="1" applyAlignment="1" applyProtection="1">
      <alignment/>
      <protection/>
    </xf>
    <xf numFmtId="0" fontId="35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5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0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5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3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44" fillId="0" borderId="10" xfId="0" applyNumberFormat="1" applyFont="1" applyBorder="1" applyAlignment="1" applyProtection="1">
      <alignment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right" wrapText="1"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Protection="1">
      <alignment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182" fontId="6" fillId="37" borderId="0" xfId="55" applyNumberFormat="1" applyFont="1" applyFill="1" applyAlignment="1" applyProtection="1">
      <alignment horizontal="center"/>
      <protection/>
    </xf>
    <xf numFmtId="183" fontId="6" fillId="0" borderId="0" xfId="55" applyNumberFormat="1" applyFont="1" applyAlignment="1" applyProtection="1">
      <alignment horizontal="center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0" borderId="10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191" fontId="7" fillId="0" borderId="10" xfId="0" applyNumberFormat="1" applyFont="1" applyFill="1" applyBorder="1" applyAlignment="1">
      <alignment horizontal="right" wrapText="1"/>
    </xf>
    <xf numFmtId="182" fontId="7" fillId="37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0" xfId="55" applyNumberFormat="1" applyFont="1" applyFill="1" applyProtection="1">
      <alignment/>
      <protection/>
    </xf>
    <xf numFmtId="0" fontId="84" fillId="0" borderId="10" xfId="55" applyFont="1" applyFill="1" applyBorder="1" applyAlignment="1" applyProtection="1">
      <alignment horizontal="right" vertical="center" wrapText="1"/>
      <protection/>
    </xf>
    <xf numFmtId="0" fontId="6" fillId="0" borderId="0" xfId="55" applyFont="1" applyProtection="1">
      <alignment/>
      <protection/>
    </xf>
    <xf numFmtId="0" fontId="27" fillId="0" borderId="0" xfId="55" applyFont="1" applyBorder="1" applyAlignment="1" applyProtection="1">
      <alignment horizontal="center"/>
      <protection/>
    </xf>
    <xf numFmtId="0" fontId="18" fillId="0" borderId="0" xfId="55" applyFont="1" applyAlignment="1" applyProtection="1">
      <alignment horizontal="center"/>
      <protection/>
    </xf>
    <xf numFmtId="182" fontId="45" fillId="0" borderId="0" xfId="0" applyNumberFormat="1" applyFont="1" applyAlignment="1" applyProtection="1">
      <alignment/>
      <protection/>
    </xf>
    <xf numFmtId="0" fontId="84" fillId="0" borderId="0" xfId="55" applyFont="1" applyFill="1" applyBorder="1" applyAlignment="1" applyProtection="1">
      <alignment horizontal="right" vertical="center" wrapText="1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1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3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3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31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40" borderId="10" xfId="55" applyNumberFormat="1" applyFont="1" applyFill="1" applyBorder="1" applyProtection="1">
      <alignment/>
      <protection/>
    </xf>
    <xf numFmtId="182" fontId="33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5" fillId="0" borderId="10" xfId="55" applyNumberFormat="1" applyFont="1" applyBorder="1" applyAlignment="1" applyProtection="1">
      <alignment vertical="center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27" fillId="0" borderId="0" xfId="55" applyFont="1" applyAlignment="1" applyProtection="1">
      <alignment horizontal="center"/>
      <protection/>
    </xf>
    <xf numFmtId="0" fontId="27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8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7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40" fillId="37" borderId="17" xfId="55" applyFont="1" applyFill="1" applyBorder="1" applyAlignment="1" applyProtection="1">
      <alignment horizontal="center" vertical="center" wrapText="1"/>
      <protection/>
    </xf>
    <xf numFmtId="0" fontId="40" fillId="37" borderId="18" xfId="55" applyFont="1" applyFill="1" applyBorder="1" applyAlignment="1" applyProtection="1">
      <alignment horizontal="center" vertical="center" wrapText="1"/>
      <protection/>
    </xf>
    <xf numFmtId="0" fontId="40" fillId="37" borderId="19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3" fillId="13" borderId="20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2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0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0" fillId="0" borderId="17" xfId="55" applyFont="1" applyFill="1" applyBorder="1" applyAlignment="1" applyProtection="1">
      <alignment horizontal="center" vertical="center" wrapText="1"/>
      <protection/>
    </xf>
    <xf numFmtId="0" fontId="40" fillId="0" borderId="18" xfId="55" applyFont="1" applyFill="1" applyBorder="1" applyAlignment="1" applyProtection="1">
      <alignment horizontal="center" vertical="center" wrapText="1"/>
      <protection/>
    </xf>
    <xf numFmtId="0" fontId="40" fillId="0" borderId="19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68"/>
  <sheetViews>
    <sheetView zoomScale="78" zoomScaleNormal="7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09" sqref="F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2" customWidth="1"/>
    <col min="4" max="4" width="12.125" style="62" hidden="1" customWidth="1"/>
    <col min="5" max="5" width="14.50390625" style="4" customWidth="1"/>
    <col min="6" max="6" width="14.00390625" style="4" customWidth="1"/>
    <col min="7" max="7" width="13.875" style="94" customWidth="1"/>
    <col min="8" max="8" width="13.25390625" style="4" customWidth="1"/>
    <col min="9" max="9" width="11.5039062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90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1.00390625" style="4" customWidth="1"/>
    <col min="25" max="25" width="11.375" style="236" hidden="1" customWidth="1"/>
    <col min="26" max="16384" width="9.125" style="4" customWidth="1"/>
  </cols>
  <sheetData>
    <row r="1" spans="1:25" s="1" customFormat="1" ht="26.25" customHeight="1">
      <c r="A1" s="397" t="s">
        <v>167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236"/>
    </row>
    <row r="2" spans="2:25" s="1" customFormat="1" ht="15.75" customHeight="1">
      <c r="B2" s="398"/>
      <c r="C2" s="398"/>
      <c r="D2" s="398"/>
      <c r="E2" s="398"/>
      <c r="F2" s="358"/>
      <c r="G2" s="93"/>
      <c r="H2" s="2"/>
      <c r="I2" s="2"/>
      <c r="K2" s="1" t="s">
        <v>24</v>
      </c>
      <c r="Q2" s="239"/>
      <c r="T2" s="1" t="s">
        <v>24</v>
      </c>
      <c r="X2" s="16" t="s">
        <v>24</v>
      </c>
      <c r="Y2" s="236"/>
    </row>
    <row r="3" spans="1:25" s="3" customFormat="1" ht="13.5" customHeight="1">
      <c r="A3" s="399"/>
      <c r="B3" s="401"/>
      <c r="C3" s="402" t="s">
        <v>0</v>
      </c>
      <c r="D3" s="371" t="s">
        <v>155</v>
      </c>
      <c r="E3" s="371" t="s">
        <v>155</v>
      </c>
      <c r="F3" s="29"/>
      <c r="G3" s="403" t="s">
        <v>26</v>
      </c>
      <c r="H3" s="404"/>
      <c r="I3" s="404"/>
      <c r="J3" s="404"/>
      <c r="K3" s="405"/>
      <c r="L3" s="78" t="s">
        <v>128</v>
      </c>
      <c r="M3" s="78"/>
      <c r="N3" s="78"/>
      <c r="O3" s="78" t="s">
        <v>128</v>
      </c>
      <c r="P3" s="78"/>
      <c r="Q3" s="240"/>
      <c r="R3" s="78"/>
      <c r="S3" s="78"/>
      <c r="T3" s="78"/>
      <c r="U3" s="406" t="s">
        <v>166</v>
      </c>
      <c r="V3" s="407" t="s">
        <v>161</v>
      </c>
      <c r="W3" s="407"/>
      <c r="X3" s="407"/>
      <c r="Y3" s="260"/>
    </row>
    <row r="4" spans="1:24" ht="22.5" customHeight="1">
      <c r="A4" s="399"/>
      <c r="B4" s="401"/>
      <c r="C4" s="402"/>
      <c r="D4" s="371"/>
      <c r="E4" s="371"/>
      <c r="F4" s="408" t="s">
        <v>164</v>
      </c>
      <c r="G4" s="391" t="s">
        <v>31</v>
      </c>
      <c r="H4" s="380" t="s">
        <v>153</v>
      </c>
      <c r="I4" s="393" t="s">
        <v>154</v>
      </c>
      <c r="J4" s="380" t="s">
        <v>156</v>
      </c>
      <c r="K4" s="393" t="s">
        <v>157</v>
      </c>
      <c r="L4" s="80" t="s">
        <v>158</v>
      </c>
      <c r="M4" s="167" t="s">
        <v>105</v>
      </c>
      <c r="N4" s="82" t="s">
        <v>61</v>
      </c>
      <c r="O4" s="80" t="s">
        <v>150</v>
      </c>
      <c r="P4" s="167" t="s">
        <v>105</v>
      </c>
      <c r="Q4" s="241" t="s">
        <v>61</v>
      </c>
      <c r="R4" s="80" t="s">
        <v>150</v>
      </c>
      <c r="S4" s="167" t="s">
        <v>105</v>
      </c>
      <c r="T4" s="82" t="s">
        <v>61</v>
      </c>
      <c r="U4" s="393"/>
      <c r="V4" s="395" t="s">
        <v>168</v>
      </c>
      <c r="W4" s="380" t="s">
        <v>47</v>
      </c>
      <c r="X4" s="382" t="s">
        <v>46</v>
      </c>
    </row>
    <row r="5" spans="1:24" ht="67.5" customHeight="1">
      <c r="A5" s="400"/>
      <c r="B5" s="401"/>
      <c r="C5" s="402"/>
      <c r="D5" s="371"/>
      <c r="E5" s="371"/>
      <c r="F5" s="409"/>
      <c r="G5" s="392"/>
      <c r="H5" s="381"/>
      <c r="I5" s="394"/>
      <c r="J5" s="381"/>
      <c r="K5" s="394"/>
      <c r="L5" s="383" t="s">
        <v>159</v>
      </c>
      <c r="M5" s="384"/>
      <c r="N5" s="385"/>
      <c r="O5" s="386" t="s">
        <v>149</v>
      </c>
      <c r="P5" s="387"/>
      <c r="Q5" s="388"/>
      <c r="R5" s="389" t="s">
        <v>160</v>
      </c>
      <c r="S5" s="389"/>
      <c r="T5" s="389"/>
      <c r="U5" s="394"/>
      <c r="V5" s="396"/>
      <c r="W5" s="381"/>
      <c r="X5" s="382"/>
    </row>
    <row r="6" spans="1:24" ht="15.75" customHeight="1">
      <c r="A6" s="5" t="s">
        <v>1</v>
      </c>
      <c r="B6" s="10" t="s">
        <v>2</v>
      </c>
      <c r="C6" s="55" t="s">
        <v>3</v>
      </c>
      <c r="D6" s="55"/>
      <c r="E6" s="10" t="s">
        <v>4</v>
      </c>
      <c r="F6" s="10" t="s">
        <v>5</v>
      </c>
      <c r="G6" s="113" t="s">
        <v>6</v>
      </c>
      <c r="H6" s="10" t="s">
        <v>7</v>
      </c>
      <c r="I6" s="10" t="s">
        <v>36</v>
      </c>
      <c r="J6" s="10" t="s">
        <v>58</v>
      </c>
      <c r="K6" s="10" t="s">
        <v>8</v>
      </c>
      <c r="L6" s="10"/>
      <c r="M6" s="10"/>
      <c r="N6" s="10"/>
      <c r="O6" s="10"/>
      <c r="P6" s="10"/>
      <c r="Q6" s="242"/>
      <c r="R6" s="10" t="s">
        <v>25</v>
      </c>
      <c r="S6" s="10"/>
      <c r="T6" s="10" t="s">
        <v>63</v>
      </c>
      <c r="U6" s="10" t="s">
        <v>64</v>
      </c>
      <c r="V6" s="118" t="s">
        <v>65</v>
      </c>
      <c r="W6" s="10" t="s">
        <v>66</v>
      </c>
      <c r="X6" s="10" t="s">
        <v>67</v>
      </c>
    </row>
    <row r="7" spans="1:24" ht="15.75" customHeight="1">
      <c r="A7" s="17"/>
      <c r="B7" s="18" t="s">
        <v>27</v>
      </c>
      <c r="C7" s="55"/>
      <c r="D7" s="55"/>
      <c r="E7" s="10"/>
      <c r="F7" s="10"/>
      <c r="G7" s="113"/>
      <c r="H7" s="10"/>
      <c r="I7" s="10"/>
      <c r="J7" s="10"/>
      <c r="K7" s="10"/>
      <c r="L7" s="10"/>
      <c r="M7" s="10"/>
      <c r="N7" s="10"/>
      <c r="O7" s="10"/>
      <c r="P7" s="10"/>
      <c r="Q7" s="242"/>
      <c r="R7" s="10"/>
      <c r="S7" s="10"/>
      <c r="T7" s="10"/>
      <c r="U7" s="10"/>
      <c r="V7" s="118"/>
      <c r="W7" s="10"/>
      <c r="X7" s="10"/>
    </row>
    <row r="8" spans="1:25" s="6" customFormat="1" ht="17.25">
      <c r="A8" s="7"/>
      <c r="B8" s="126" t="s">
        <v>9</v>
      </c>
      <c r="C8" s="65" t="s">
        <v>10</v>
      </c>
      <c r="D8" s="14">
        <f>D9+D15+D18+D19+D23+D17</f>
        <v>1580633.8</v>
      </c>
      <c r="E8" s="124">
        <f>E9+E15+E18+E19+E23+E17</f>
        <v>1580633.8</v>
      </c>
      <c r="F8" s="124">
        <f>F9+F15+F18+F19+F23+F17</f>
        <v>229561.439</v>
      </c>
      <c r="G8" s="124">
        <f>G9+G15+G18+G19+G23+G17</f>
        <v>166187.65</v>
      </c>
      <c r="H8" s="124">
        <f>G8-F8</f>
        <v>-63373.78900000002</v>
      </c>
      <c r="I8" s="277">
        <f aca="true" t="shared" si="0" ref="I8:I15">G8/F8</f>
        <v>0.7239353905600844</v>
      </c>
      <c r="J8" s="125">
        <f aca="true" t="shared" si="1" ref="J8:J52">G8-E8</f>
        <v>-1414446.1500000001</v>
      </c>
      <c r="K8" s="181">
        <f aca="true" t="shared" si="2" ref="K8:K14">G8/E8</f>
        <v>0.10513988122992181</v>
      </c>
      <c r="L8" s="125"/>
      <c r="M8" s="125"/>
      <c r="N8" s="125"/>
      <c r="O8" s="125">
        <v>1329586.12</v>
      </c>
      <c r="P8" s="125">
        <f aca="true" t="shared" si="3" ref="P8:P51">E8-O8</f>
        <v>251047.67999999993</v>
      </c>
      <c r="Q8" s="181">
        <f aca="true" t="shared" si="4" ref="Q8:Q51">E8/O8</f>
        <v>1.188816411531131</v>
      </c>
      <c r="R8" s="124">
        <v>194831.46</v>
      </c>
      <c r="S8" s="124">
        <f aca="true" t="shared" si="5" ref="S8:S78">G8-R8</f>
        <v>-28643.809999999998</v>
      </c>
      <c r="T8" s="168">
        <f aca="true" t="shared" si="6" ref="T8:T20">G8/R8</f>
        <v>0.8529815975305015</v>
      </c>
      <c r="U8" s="124">
        <f>U9+U15+U18+U19+U23+U17</f>
        <v>117534.42000000001</v>
      </c>
      <c r="V8" s="124">
        <f>V9+V15+V18+V19+V23+V17</f>
        <v>54160.639999999985</v>
      </c>
      <c r="W8" s="124">
        <f>V8-U8</f>
        <v>-63373.78000000003</v>
      </c>
      <c r="X8" s="168">
        <f aca="true" t="shared" si="7" ref="X8:X15">V8/U8</f>
        <v>0.46080663009184863</v>
      </c>
      <c r="Y8" s="266">
        <f aca="true" t="shared" si="8" ref="Y8:Y22">T8-Q8</f>
        <v>-0.33583481400062953</v>
      </c>
    </row>
    <row r="9" spans="1:25" s="6" customFormat="1" ht="18">
      <c r="A9" s="8"/>
      <c r="B9" s="108" t="s">
        <v>74</v>
      </c>
      <c r="C9" s="38">
        <v>11010000</v>
      </c>
      <c r="D9" s="345">
        <v>956203</v>
      </c>
      <c r="E9" s="123">
        <v>956203</v>
      </c>
      <c r="F9" s="123">
        <v>131692.339</v>
      </c>
      <c r="G9" s="127">
        <v>97978.04</v>
      </c>
      <c r="H9" s="123">
        <f>G9-F9</f>
        <v>-33714.29900000001</v>
      </c>
      <c r="I9" s="275">
        <f t="shared" si="0"/>
        <v>0.7439919492963064</v>
      </c>
      <c r="J9" s="129">
        <f t="shared" si="1"/>
        <v>-858224.96</v>
      </c>
      <c r="K9" s="173">
        <f t="shared" si="2"/>
        <v>0.10246573164903268</v>
      </c>
      <c r="L9" s="129"/>
      <c r="M9" s="129"/>
      <c r="N9" s="129"/>
      <c r="O9" s="129">
        <v>775821.8</v>
      </c>
      <c r="P9" s="129">
        <f t="shared" si="3"/>
        <v>180381.19999999995</v>
      </c>
      <c r="Q9" s="173">
        <f t="shared" si="4"/>
        <v>1.2325033918871575</v>
      </c>
      <c r="R9" s="187">
        <v>101885.94</v>
      </c>
      <c r="S9" s="130">
        <f t="shared" si="5"/>
        <v>-3907.9000000000087</v>
      </c>
      <c r="T9" s="169">
        <f t="shared" si="6"/>
        <v>0.9616443642763662</v>
      </c>
      <c r="U9" s="128">
        <f>F9-січень!F9</f>
        <v>67863</v>
      </c>
      <c r="V9" s="131">
        <f>G9-січень!G9</f>
        <v>34148.74999999999</v>
      </c>
      <c r="W9" s="132">
        <f>V9-U9</f>
        <v>-33714.25000000001</v>
      </c>
      <c r="X9" s="173">
        <f t="shared" si="7"/>
        <v>0.503201302624405</v>
      </c>
      <c r="Y9" s="267">
        <f t="shared" si="8"/>
        <v>-0.2708590276107913</v>
      </c>
    </row>
    <row r="10" spans="1:25" s="6" customFormat="1" ht="15" customHeight="1" hidden="1">
      <c r="A10" s="8"/>
      <c r="B10" s="99" t="s">
        <v>84</v>
      </c>
      <c r="C10" s="86">
        <v>11010100</v>
      </c>
      <c r="D10" s="342">
        <v>881803</v>
      </c>
      <c r="E10" s="87">
        <v>881803</v>
      </c>
      <c r="F10" s="87">
        <v>120478.7</v>
      </c>
      <c r="G10" s="115">
        <v>90002.54</v>
      </c>
      <c r="H10" s="87">
        <f aca="true" t="shared" si="9" ref="H10:H47">G10-F10</f>
        <v>-30476.160000000003</v>
      </c>
      <c r="I10" s="276">
        <f t="shared" si="0"/>
        <v>0.7470410952309412</v>
      </c>
      <c r="J10" s="88">
        <f t="shared" si="1"/>
        <v>-791800.46</v>
      </c>
      <c r="K10" s="91">
        <f t="shared" si="2"/>
        <v>0.10206649330973017</v>
      </c>
      <c r="L10" s="88"/>
      <c r="M10" s="88"/>
      <c r="N10" s="88"/>
      <c r="O10" s="88">
        <v>709899.75</v>
      </c>
      <c r="P10" s="88">
        <f t="shared" si="3"/>
        <v>171903.25</v>
      </c>
      <c r="Q10" s="91">
        <f t="shared" si="4"/>
        <v>1.2421514446229909</v>
      </c>
      <c r="R10" s="90">
        <v>92726.64</v>
      </c>
      <c r="S10" s="90">
        <f t="shared" si="5"/>
        <v>-2724.100000000006</v>
      </c>
      <c r="T10" s="170">
        <f t="shared" si="6"/>
        <v>0.9706222505204545</v>
      </c>
      <c r="U10" s="89">
        <f>F10-січень!F10</f>
        <v>61500</v>
      </c>
      <c r="V10" s="119">
        <f>G10-січень!G10</f>
        <v>31023.84999999999</v>
      </c>
      <c r="W10" s="90">
        <f aca="true" t="shared" si="10" ref="W10:W52">V10-U10</f>
        <v>-30476.15000000001</v>
      </c>
      <c r="X10" s="91">
        <f t="shared" si="7"/>
        <v>0.5044528455284552</v>
      </c>
      <c r="Y10" s="265">
        <f t="shared" si="8"/>
        <v>-0.2715291941025364</v>
      </c>
    </row>
    <row r="11" spans="1:25" s="6" customFormat="1" ht="15" customHeight="1" hidden="1">
      <c r="A11" s="8"/>
      <c r="B11" s="99" t="s">
        <v>80</v>
      </c>
      <c r="C11" s="86">
        <v>11010200</v>
      </c>
      <c r="D11" s="342">
        <v>49900</v>
      </c>
      <c r="E11" s="87">
        <v>49900</v>
      </c>
      <c r="F11" s="87">
        <v>7084.7</v>
      </c>
      <c r="G11" s="115">
        <v>4909.34</v>
      </c>
      <c r="H11" s="87">
        <f t="shared" si="9"/>
        <v>-2175.3599999999997</v>
      </c>
      <c r="I11" s="276">
        <f t="shared" si="0"/>
        <v>0.6929495956074357</v>
      </c>
      <c r="J11" s="88">
        <f t="shared" si="1"/>
        <v>-44990.66</v>
      </c>
      <c r="K11" s="91">
        <f t="shared" si="2"/>
        <v>0.09838356713426855</v>
      </c>
      <c r="L11" s="88"/>
      <c r="M11" s="88"/>
      <c r="N11" s="88"/>
      <c r="O11" s="88">
        <v>42516.41</v>
      </c>
      <c r="P11" s="88">
        <f t="shared" si="3"/>
        <v>7383.5899999999965</v>
      </c>
      <c r="Q11" s="91">
        <f t="shared" si="4"/>
        <v>1.1736644744934954</v>
      </c>
      <c r="R11" s="90">
        <v>5895.26</v>
      </c>
      <c r="S11" s="90">
        <f t="shared" si="5"/>
        <v>-985.9200000000001</v>
      </c>
      <c r="T11" s="170">
        <f t="shared" si="6"/>
        <v>0.8327605567862995</v>
      </c>
      <c r="U11" s="89">
        <f>F11-січень!F11</f>
        <v>3600</v>
      </c>
      <c r="V11" s="119">
        <f>G11-січень!G11</f>
        <v>1424.6400000000003</v>
      </c>
      <c r="W11" s="90">
        <f t="shared" si="10"/>
        <v>-2175.3599999999997</v>
      </c>
      <c r="X11" s="91">
        <f t="shared" si="7"/>
        <v>0.39573333333333344</v>
      </c>
      <c r="Y11" s="265">
        <f t="shared" si="8"/>
        <v>-0.34090391770719597</v>
      </c>
    </row>
    <row r="12" spans="1:25" s="6" customFormat="1" ht="15" customHeight="1" hidden="1">
      <c r="A12" s="8"/>
      <c r="B12" s="99" t="s">
        <v>83</v>
      </c>
      <c r="C12" s="86">
        <v>11010400</v>
      </c>
      <c r="D12" s="342">
        <v>12000</v>
      </c>
      <c r="E12" s="87">
        <v>12000</v>
      </c>
      <c r="F12" s="87">
        <v>1464.409</v>
      </c>
      <c r="G12" s="115">
        <v>1269.67</v>
      </c>
      <c r="H12" s="87">
        <f t="shared" si="9"/>
        <v>-194.73900000000003</v>
      </c>
      <c r="I12" s="276">
        <f t="shared" si="0"/>
        <v>0.867018708571171</v>
      </c>
      <c r="J12" s="88">
        <f t="shared" si="1"/>
        <v>-10730.33</v>
      </c>
      <c r="K12" s="91">
        <f t="shared" si="2"/>
        <v>0.10580583333333334</v>
      </c>
      <c r="L12" s="88"/>
      <c r="M12" s="88"/>
      <c r="N12" s="88"/>
      <c r="O12" s="88">
        <v>11992.15</v>
      </c>
      <c r="P12" s="88">
        <f t="shared" si="3"/>
        <v>7.850000000000364</v>
      </c>
      <c r="Q12" s="91">
        <f t="shared" si="4"/>
        <v>1.0006545948808179</v>
      </c>
      <c r="R12" s="90">
        <v>1037.42</v>
      </c>
      <c r="S12" s="90">
        <f t="shared" si="5"/>
        <v>232.25</v>
      </c>
      <c r="T12" s="170">
        <f t="shared" si="6"/>
        <v>1.2238726841587786</v>
      </c>
      <c r="U12" s="89">
        <f>F12-січень!F12</f>
        <v>720.0000000000001</v>
      </c>
      <c r="V12" s="119">
        <f>G12-січень!G12</f>
        <v>525.2800000000001</v>
      </c>
      <c r="W12" s="90">
        <f t="shared" si="10"/>
        <v>-194.72000000000003</v>
      </c>
      <c r="X12" s="91">
        <f t="shared" si="7"/>
        <v>0.7295555555555555</v>
      </c>
      <c r="Y12" s="265">
        <f t="shared" si="8"/>
        <v>0.22321808927796072</v>
      </c>
    </row>
    <row r="13" spans="1:25" s="6" customFormat="1" ht="15" customHeight="1" hidden="1">
      <c r="A13" s="8"/>
      <c r="B13" s="99" t="s">
        <v>81</v>
      </c>
      <c r="C13" s="86">
        <v>11010500</v>
      </c>
      <c r="D13" s="342">
        <v>12000</v>
      </c>
      <c r="E13" s="87">
        <v>12000</v>
      </c>
      <c r="F13" s="87">
        <v>2485.9</v>
      </c>
      <c r="G13" s="115">
        <v>1590.29</v>
      </c>
      <c r="H13" s="87">
        <f t="shared" si="9"/>
        <v>-895.6100000000001</v>
      </c>
      <c r="I13" s="276">
        <f t="shared" si="0"/>
        <v>0.6397240436059375</v>
      </c>
      <c r="J13" s="88">
        <f t="shared" si="1"/>
        <v>-10409.71</v>
      </c>
      <c r="K13" s="91">
        <f t="shared" si="2"/>
        <v>0.13252416666666667</v>
      </c>
      <c r="L13" s="88"/>
      <c r="M13" s="88"/>
      <c r="N13" s="88"/>
      <c r="O13" s="88">
        <v>10036.81</v>
      </c>
      <c r="P13" s="88">
        <f t="shared" si="3"/>
        <v>1963.1900000000005</v>
      </c>
      <c r="Q13" s="91">
        <f t="shared" si="4"/>
        <v>1.195599000080703</v>
      </c>
      <c r="R13" s="90">
        <v>2028.32</v>
      </c>
      <c r="S13" s="90">
        <f t="shared" si="5"/>
        <v>-438.03</v>
      </c>
      <c r="T13" s="170">
        <f t="shared" si="6"/>
        <v>0.784042951802477</v>
      </c>
      <c r="U13" s="89">
        <f>F13-січень!F13</f>
        <v>2010</v>
      </c>
      <c r="V13" s="119">
        <f>G13-січень!G13</f>
        <v>1114.42</v>
      </c>
      <c r="W13" s="90">
        <f t="shared" si="10"/>
        <v>-895.5799999999999</v>
      </c>
      <c r="X13" s="91">
        <f t="shared" si="7"/>
        <v>0.5544378109452737</v>
      </c>
      <c r="Y13" s="265">
        <f t="shared" si="8"/>
        <v>-0.4115560482782261</v>
      </c>
    </row>
    <row r="14" spans="1:25" s="6" customFormat="1" ht="15" customHeight="1" hidden="1">
      <c r="A14" s="8"/>
      <c r="B14" s="99" t="s">
        <v>82</v>
      </c>
      <c r="C14" s="86">
        <v>11010900</v>
      </c>
      <c r="D14" s="342">
        <v>500</v>
      </c>
      <c r="E14" s="87">
        <v>500</v>
      </c>
      <c r="F14" s="87">
        <v>178.63</v>
      </c>
      <c r="G14" s="115">
        <v>206.21</v>
      </c>
      <c r="H14" s="87">
        <f t="shared" si="9"/>
        <v>27.580000000000013</v>
      </c>
      <c r="I14" s="276">
        <f t="shared" si="0"/>
        <v>1.1543973576666855</v>
      </c>
      <c r="J14" s="88">
        <f t="shared" si="1"/>
        <v>-293.78999999999996</v>
      </c>
      <c r="K14" s="91">
        <f t="shared" si="2"/>
        <v>0.41242</v>
      </c>
      <c r="L14" s="88"/>
      <c r="M14" s="88"/>
      <c r="N14" s="88"/>
      <c r="O14" s="88">
        <v>1376.68</v>
      </c>
      <c r="P14" s="88">
        <f t="shared" si="3"/>
        <v>-876.6800000000001</v>
      </c>
      <c r="Q14" s="91">
        <f t="shared" si="4"/>
        <v>0.36319260830403577</v>
      </c>
      <c r="R14" s="90">
        <v>198.31</v>
      </c>
      <c r="S14" s="90">
        <f t="shared" si="5"/>
        <v>7.900000000000006</v>
      </c>
      <c r="T14" s="170">
        <f t="shared" si="6"/>
        <v>1.0398366194342192</v>
      </c>
      <c r="U14" s="89">
        <f>F14-січень!F14</f>
        <v>33</v>
      </c>
      <c r="V14" s="119">
        <f>G14-січень!G14</f>
        <v>60.58000000000001</v>
      </c>
      <c r="W14" s="90">
        <f t="shared" si="10"/>
        <v>27.580000000000013</v>
      </c>
      <c r="X14" s="91">
        <f t="shared" si="7"/>
        <v>1.8357575757575761</v>
      </c>
      <c r="Y14" s="265">
        <f t="shared" si="8"/>
        <v>0.6766440111301835</v>
      </c>
    </row>
    <row r="15" spans="1:25" s="6" customFormat="1" ht="30.75">
      <c r="A15" s="8"/>
      <c r="B15" s="109" t="s">
        <v>11</v>
      </c>
      <c r="C15" s="38">
        <v>11020200</v>
      </c>
      <c r="D15" s="345">
        <v>900</v>
      </c>
      <c r="E15" s="123">
        <v>900</v>
      </c>
      <c r="F15" s="123">
        <v>10</v>
      </c>
      <c r="G15" s="127">
        <v>0.2</v>
      </c>
      <c r="H15" s="123">
        <f t="shared" si="9"/>
        <v>-9.8</v>
      </c>
      <c r="I15" s="275">
        <f t="shared" si="0"/>
        <v>0.02</v>
      </c>
      <c r="J15" s="129">
        <f t="shared" si="1"/>
        <v>-899.8</v>
      </c>
      <c r="K15" s="129">
        <f aca="true" t="shared" si="11" ref="K15:K23">G15/E15*100</f>
        <v>0.022222222222222223</v>
      </c>
      <c r="L15" s="129"/>
      <c r="M15" s="129"/>
      <c r="N15" s="129"/>
      <c r="O15" s="129">
        <v>887.61</v>
      </c>
      <c r="P15" s="129">
        <f t="shared" si="3"/>
        <v>12.389999999999986</v>
      </c>
      <c r="Q15" s="173">
        <f t="shared" si="4"/>
        <v>1.0139588332713692</v>
      </c>
      <c r="R15" s="132">
        <v>13.91</v>
      </c>
      <c r="S15" s="132">
        <f t="shared" si="5"/>
        <v>-13.71</v>
      </c>
      <c r="T15" s="171">
        <f t="shared" si="6"/>
        <v>0.014378145219266716</v>
      </c>
      <c r="U15" s="128">
        <f>F15-січень!F15</f>
        <v>10</v>
      </c>
      <c r="V15" s="131">
        <f>G15-січень!G15</f>
        <v>0.2</v>
      </c>
      <c r="W15" s="132">
        <f t="shared" si="10"/>
        <v>-9.8</v>
      </c>
      <c r="X15" s="173">
        <f t="shared" si="7"/>
        <v>0.02</v>
      </c>
      <c r="Y15" s="264">
        <f t="shared" si="8"/>
        <v>-0.9995806880521024</v>
      </c>
    </row>
    <row r="16" spans="1:25" s="6" customFormat="1" ht="18" customHeight="1" hidden="1">
      <c r="A16" s="8"/>
      <c r="B16" s="262" t="s">
        <v>62</v>
      </c>
      <c r="C16" s="86">
        <v>11010232</v>
      </c>
      <c r="D16" s="342"/>
      <c r="E16" s="87">
        <v>0</v>
      </c>
      <c r="F16" s="123">
        <f>E16</f>
        <v>0</v>
      </c>
      <c r="G16" s="115">
        <v>0</v>
      </c>
      <c r="H16" s="123">
        <f t="shared" si="9"/>
        <v>0</v>
      </c>
      <c r="I16" s="275" t="e">
        <f>G16/F16/100</f>
        <v>#DIV/0!</v>
      </c>
      <c r="J16" s="129">
        <f t="shared" si="1"/>
        <v>0</v>
      </c>
      <c r="K16" s="129" t="e">
        <f t="shared" si="11"/>
        <v>#DIV/0!</v>
      </c>
      <c r="L16" s="129"/>
      <c r="M16" s="129"/>
      <c r="N16" s="129"/>
      <c r="O16" s="129"/>
      <c r="P16" s="129">
        <f t="shared" si="3"/>
        <v>0</v>
      </c>
      <c r="Q16" s="173" t="e">
        <f t="shared" si="4"/>
        <v>#DIV/0!</v>
      </c>
      <c r="R16" s="132">
        <f>O16</f>
        <v>0</v>
      </c>
      <c r="S16" s="132">
        <f t="shared" si="5"/>
        <v>0</v>
      </c>
      <c r="T16" s="171" t="e">
        <f t="shared" si="6"/>
        <v>#DIV/0!</v>
      </c>
      <c r="U16" s="128">
        <f>F16-січень!F16</f>
        <v>0</v>
      </c>
      <c r="V16" s="131">
        <f>G16-січень!G16</f>
        <v>0</v>
      </c>
      <c r="W16" s="132">
        <f t="shared" si="10"/>
        <v>0</v>
      </c>
      <c r="X16" s="173" t="e">
        <f>V16/U16*100</f>
        <v>#DIV/0!</v>
      </c>
      <c r="Y16" s="264" t="e">
        <f t="shared" si="8"/>
        <v>#DIV/0!</v>
      </c>
    </row>
    <row r="17" spans="1:25" s="6" customFormat="1" ht="30.75" customHeight="1" hidden="1">
      <c r="A17" s="8"/>
      <c r="B17" s="185" t="s">
        <v>107</v>
      </c>
      <c r="C17" s="98">
        <v>13010200</v>
      </c>
      <c r="D17" s="345"/>
      <c r="E17" s="133">
        <v>0</v>
      </c>
      <c r="F17" s="123">
        <f>E17</f>
        <v>0</v>
      </c>
      <c r="G17" s="134">
        <v>0</v>
      </c>
      <c r="H17" s="123">
        <f t="shared" si="9"/>
        <v>0</v>
      </c>
      <c r="I17" s="275"/>
      <c r="J17" s="129">
        <f t="shared" si="1"/>
        <v>0</v>
      </c>
      <c r="K17" s="129"/>
      <c r="L17" s="129"/>
      <c r="M17" s="129"/>
      <c r="N17" s="129"/>
      <c r="O17" s="129">
        <v>0.49</v>
      </c>
      <c r="P17" s="129">
        <f t="shared" si="3"/>
        <v>-0.49</v>
      </c>
      <c r="Q17" s="173">
        <f t="shared" si="4"/>
        <v>0</v>
      </c>
      <c r="R17" s="132">
        <v>0</v>
      </c>
      <c r="S17" s="132">
        <f t="shared" si="5"/>
        <v>0</v>
      </c>
      <c r="T17" s="171" t="e">
        <f t="shared" si="6"/>
        <v>#DIV/0!</v>
      </c>
      <c r="U17" s="128">
        <f>F17-січень!F17</f>
        <v>0</v>
      </c>
      <c r="V17" s="131">
        <f>G17-січень!G17</f>
        <v>0</v>
      </c>
      <c r="W17" s="132">
        <f t="shared" si="10"/>
        <v>0</v>
      </c>
      <c r="X17" s="173"/>
      <c r="Y17" s="264" t="e">
        <f t="shared" si="8"/>
        <v>#DIV/0!</v>
      </c>
    </row>
    <row r="18" spans="1:25" s="6" customFormat="1" ht="30.75">
      <c r="A18" s="8"/>
      <c r="B18" s="108" t="s">
        <v>108</v>
      </c>
      <c r="C18" s="98">
        <v>13030200</v>
      </c>
      <c r="D18" s="345">
        <v>235.6</v>
      </c>
      <c r="E18" s="123">
        <v>235.6</v>
      </c>
      <c r="F18" s="123">
        <v>120</v>
      </c>
      <c r="G18" s="127">
        <v>194.24</v>
      </c>
      <c r="H18" s="123">
        <f t="shared" si="9"/>
        <v>74.24000000000001</v>
      </c>
      <c r="I18" s="275">
        <f aca="true" t="shared" si="12" ref="I18:I41">G18/F18</f>
        <v>1.6186666666666667</v>
      </c>
      <c r="J18" s="129">
        <f t="shared" si="1"/>
        <v>-41.359999999999985</v>
      </c>
      <c r="K18" s="129">
        <f t="shared" si="11"/>
        <v>82.44482173174873</v>
      </c>
      <c r="L18" s="129"/>
      <c r="M18" s="129"/>
      <c r="N18" s="129"/>
      <c r="O18" s="129">
        <v>220.59</v>
      </c>
      <c r="P18" s="129">
        <f t="shared" si="3"/>
        <v>15.009999999999991</v>
      </c>
      <c r="Q18" s="173">
        <f t="shared" si="4"/>
        <v>1.0680447889750215</v>
      </c>
      <c r="R18" s="132">
        <v>0</v>
      </c>
      <c r="S18" s="132">
        <f t="shared" si="5"/>
        <v>194.24</v>
      </c>
      <c r="T18" s="171" t="e">
        <f t="shared" si="6"/>
        <v>#DIV/0!</v>
      </c>
      <c r="U18" s="128">
        <f>F18-січень!F18</f>
        <v>120</v>
      </c>
      <c r="V18" s="131">
        <f>G18-січень!G18</f>
        <v>194.24</v>
      </c>
      <c r="W18" s="132">
        <f t="shared" si="10"/>
        <v>74.24000000000001</v>
      </c>
      <c r="X18" s="173">
        <f aca="true" t="shared" si="13" ref="X18:X25">V18/U18</f>
        <v>1.6186666666666667</v>
      </c>
      <c r="Y18" s="264" t="e">
        <f t="shared" si="8"/>
        <v>#DIV/0!</v>
      </c>
    </row>
    <row r="19" spans="1:25" s="6" customFormat="1" ht="18">
      <c r="A19" s="8"/>
      <c r="B19" s="108" t="s">
        <v>120</v>
      </c>
      <c r="C19" s="38"/>
      <c r="D19" s="345">
        <f>D20+D21+D22</f>
        <v>151728</v>
      </c>
      <c r="E19" s="123">
        <f>E20+E21+E22</f>
        <v>151728</v>
      </c>
      <c r="F19" s="123">
        <f>F20+F21+F22</f>
        <v>9066</v>
      </c>
      <c r="G19" s="184">
        <v>5300.33</v>
      </c>
      <c r="H19" s="123">
        <f t="shared" si="9"/>
        <v>-3765.67</v>
      </c>
      <c r="I19" s="275">
        <f t="shared" si="12"/>
        <v>0.5846382086918156</v>
      </c>
      <c r="J19" s="129">
        <f t="shared" si="1"/>
        <v>-146427.67</v>
      </c>
      <c r="K19" s="129">
        <f t="shared" si="11"/>
        <v>3.4933103975535165</v>
      </c>
      <c r="L19" s="129"/>
      <c r="M19" s="129"/>
      <c r="N19" s="129"/>
      <c r="O19" s="129">
        <v>121950.14</v>
      </c>
      <c r="P19" s="129">
        <f t="shared" si="3"/>
        <v>29777.86</v>
      </c>
      <c r="Q19" s="173">
        <f t="shared" si="4"/>
        <v>1.2441806134867905</v>
      </c>
      <c r="R19" s="132">
        <v>13705.91</v>
      </c>
      <c r="S19" s="132">
        <f t="shared" si="5"/>
        <v>-8405.58</v>
      </c>
      <c r="T19" s="171">
        <f t="shared" si="6"/>
        <v>0.38671857614707816</v>
      </c>
      <c r="U19" s="128">
        <f>F19-січень!F19</f>
        <v>4076.42</v>
      </c>
      <c r="V19" s="131">
        <f>G19-січень!G19</f>
        <v>310.75</v>
      </c>
      <c r="W19" s="132">
        <f t="shared" si="10"/>
        <v>-3765.67</v>
      </c>
      <c r="X19" s="173">
        <f t="shared" si="13"/>
        <v>0.07623110474386839</v>
      </c>
      <c r="Y19" s="264">
        <f t="shared" si="8"/>
        <v>-0.8574620373397124</v>
      </c>
    </row>
    <row r="20" spans="1:25" s="6" customFormat="1" ht="61.5">
      <c r="A20" s="8"/>
      <c r="B20" s="203" t="s">
        <v>126</v>
      </c>
      <c r="C20" s="101">
        <v>14040000</v>
      </c>
      <c r="D20" s="342">
        <v>66708</v>
      </c>
      <c r="E20" s="204">
        <v>66708</v>
      </c>
      <c r="F20" s="204">
        <v>9066</v>
      </c>
      <c r="G20" s="165">
        <v>5300.33</v>
      </c>
      <c r="H20" s="204">
        <f t="shared" si="9"/>
        <v>-3765.67</v>
      </c>
      <c r="I20" s="278">
        <f t="shared" si="12"/>
        <v>0.5846382086918156</v>
      </c>
      <c r="J20" s="205">
        <f t="shared" si="1"/>
        <v>-61407.67</v>
      </c>
      <c r="K20" s="205">
        <f t="shared" si="11"/>
        <v>7.945568747376626</v>
      </c>
      <c r="L20" s="205"/>
      <c r="M20" s="205"/>
      <c r="N20" s="205"/>
      <c r="O20" s="205">
        <v>60736.45</v>
      </c>
      <c r="P20" s="205">
        <f t="shared" si="3"/>
        <v>5971.550000000003</v>
      </c>
      <c r="Q20" s="230">
        <f t="shared" si="4"/>
        <v>1.098319048940134</v>
      </c>
      <c r="R20" s="137">
        <v>13705.91</v>
      </c>
      <c r="S20" s="137">
        <f t="shared" si="5"/>
        <v>-8405.58</v>
      </c>
      <c r="T20" s="206">
        <f t="shared" si="6"/>
        <v>0.38671857614707816</v>
      </c>
      <c r="U20" s="160">
        <f>F20-січень!F20</f>
        <v>4076.42</v>
      </c>
      <c r="V20" s="145">
        <f>G20-січень!G20</f>
        <v>310.75</v>
      </c>
      <c r="W20" s="137">
        <f t="shared" si="10"/>
        <v>-3765.67</v>
      </c>
      <c r="X20" s="230">
        <f t="shared" si="13"/>
        <v>0.07623110474386839</v>
      </c>
      <c r="Y20" s="264">
        <f t="shared" si="8"/>
        <v>-0.7116004727930558</v>
      </c>
    </row>
    <row r="21" spans="1:25" s="6" customFormat="1" ht="18">
      <c r="A21" s="8"/>
      <c r="B21" s="203" t="s">
        <v>118</v>
      </c>
      <c r="C21" s="101">
        <v>14021900</v>
      </c>
      <c r="D21" s="342">
        <v>15696</v>
      </c>
      <c r="E21" s="204">
        <v>15696</v>
      </c>
      <c r="F21" s="204">
        <v>0</v>
      </c>
      <c r="G21" s="165">
        <v>0</v>
      </c>
      <c r="H21" s="204">
        <f t="shared" si="9"/>
        <v>0</v>
      </c>
      <c r="I21" s="278" t="e">
        <f t="shared" si="12"/>
        <v>#DIV/0!</v>
      </c>
      <c r="J21" s="205">
        <f t="shared" si="1"/>
        <v>-15696</v>
      </c>
      <c r="K21" s="205">
        <f t="shared" si="11"/>
        <v>0</v>
      </c>
      <c r="L21" s="205"/>
      <c r="M21" s="205"/>
      <c r="N21" s="205"/>
      <c r="O21" s="205">
        <v>12528.71</v>
      </c>
      <c r="P21" s="205">
        <f t="shared" si="3"/>
        <v>3167.290000000001</v>
      </c>
      <c r="Q21" s="230">
        <f t="shared" si="4"/>
        <v>1.2528025630731336</v>
      </c>
      <c r="R21" s="137">
        <v>0</v>
      </c>
      <c r="S21" s="137">
        <f t="shared" si="5"/>
        <v>0</v>
      </c>
      <c r="T21" s="206"/>
      <c r="U21" s="160">
        <f>F21-січень!F21</f>
        <v>0</v>
      </c>
      <c r="V21" s="145">
        <f>G21-січень!G21</f>
        <v>0</v>
      </c>
      <c r="W21" s="137">
        <f t="shared" si="10"/>
        <v>0</v>
      </c>
      <c r="X21" s="230" t="e">
        <f t="shared" si="13"/>
        <v>#DIV/0!</v>
      </c>
      <c r="Y21" s="264">
        <f t="shared" si="8"/>
        <v>-1.2528025630731336</v>
      </c>
    </row>
    <row r="22" spans="1:28" s="6" customFormat="1" ht="18">
      <c r="A22" s="8"/>
      <c r="B22" s="203" t="s">
        <v>119</v>
      </c>
      <c r="C22" s="101">
        <v>14031900</v>
      </c>
      <c r="D22" s="342">
        <v>69324</v>
      </c>
      <c r="E22" s="204">
        <v>69324</v>
      </c>
      <c r="F22" s="204">
        <v>0</v>
      </c>
      <c r="G22" s="165">
        <v>0</v>
      </c>
      <c r="H22" s="204">
        <f t="shared" si="9"/>
        <v>0</v>
      </c>
      <c r="I22" s="278" t="e">
        <f t="shared" si="12"/>
        <v>#DIV/0!</v>
      </c>
      <c r="J22" s="205">
        <f t="shared" si="1"/>
        <v>-69324</v>
      </c>
      <c r="K22" s="205">
        <f t="shared" si="11"/>
        <v>0</v>
      </c>
      <c r="L22" s="205"/>
      <c r="M22" s="205"/>
      <c r="N22" s="205"/>
      <c r="O22" s="205">
        <v>48684.98</v>
      </c>
      <c r="P22" s="205">
        <f t="shared" si="3"/>
        <v>20639.019999999997</v>
      </c>
      <c r="Q22" s="230">
        <f t="shared" si="4"/>
        <v>1.4239299266426728</v>
      </c>
      <c r="R22" s="137">
        <v>0</v>
      </c>
      <c r="S22" s="137">
        <f t="shared" si="5"/>
        <v>0</v>
      </c>
      <c r="T22" s="206"/>
      <c r="U22" s="160">
        <f>F22-січень!F22</f>
        <v>0</v>
      </c>
      <c r="V22" s="145">
        <f>G22-січень!G22</f>
        <v>0</v>
      </c>
      <c r="W22" s="137">
        <f t="shared" si="10"/>
        <v>0</v>
      </c>
      <c r="X22" s="230" t="e">
        <f t="shared" si="13"/>
        <v>#DIV/0!</v>
      </c>
      <c r="Y22" s="264">
        <f t="shared" si="8"/>
        <v>-1.4239299266426728</v>
      </c>
      <c r="AB22" s="122"/>
    </row>
    <row r="23" spans="1:28" s="6" customFormat="1" ht="18">
      <c r="A23" s="8"/>
      <c r="B23" s="263" t="s">
        <v>68</v>
      </c>
      <c r="C23" s="38">
        <v>18000000</v>
      </c>
      <c r="D23" s="123">
        <f>D24+D43+D47+D42</f>
        <v>471567.19999999995</v>
      </c>
      <c r="E23" s="123">
        <f>E24+E43+E47+E42</f>
        <v>471567.19999999995</v>
      </c>
      <c r="F23" s="123">
        <f>F24+F43+F47+F42</f>
        <v>88673.1</v>
      </c>
      <c r="G23" s="184">
        <v>62714.84</v>
      </c>
      <c r="H23" s="123">
        <f t="shared" si="9"/>
        <v>-25958.26000000001</v>
      </c>
      <c r="I23" s="275">
        <f t="shared" si="12"/>
        <v>0.7072589094099563</v>
      </c>
      <c r="J23" s="129">
        <f t="shared" si="1"/>
        <v>-408852.36</v>
      </c>
      <c r="K23" s="129">
        <f t="shared" si="11"/>
        <v>13.299237097066971</v>
      </c>
      <c r="L23" s="129"/>
      <c r="M23" s="129"/>
      <c r="N23" s="129"/>
      <c r="O23" s="129">
        <v>430705.5</v>
      </c>
      <c r="P23" s="129">
        <f t="shared" si="3"/>
        <v>40861.69999999995</v>
      </c>
      <c r="Q23" s="173">
        <f t="shared" si="4"/>
        <v>1.0948715537646954</v>
      </c>
      <c r="R23" s="129">
        <v>79107.24</v>
      </c>
      <c r="S23" s="132">
        <f t="shared" si="5"/>
        <v>-16392.40000000001</v>
      </c>
      <c r="T23" s="172">
        <f aca="true" t="shared" si="14" ref="T23:T41">G23/R23</f>
        <v>0.792782556944219</v>
      </c>
      <c r="U23" s="128">
        <f>F23-січень!F23</f>
        <v>45465.00000000001</v>
      </c>
      <c r="V23" s="131">
        <f>G23-січень!G23</f>
        <v>19506.699999999997</v>
      </c>
      <c r="W23" s="132">
        <f t="shared" si="10"/>
        <v>-25958.30000000001</v>
      </c>
      <c r="X23" s="173">
        <f t="shared" si="13"/>
        <v>0.4290487187946771</v>
      </c>
      <c r="Y23" s="264">
        <f>T23-Q23</f>
        <v>-0.3020889968204764</v>
      </c>
      <c r="AB23" s="122"/>
    </row>
    <row r="24" spans="1:28" s="6" customFormat="1" ht="18">
      <c r="A24" s="8"/>
      <c r="B24" s="39" t="s">
        <v>76</v>
      </c>
      <c r="C24" s="95">
        <v>18010000</v>
      </c>
      <c r="D24" s="123">
        <f>D25+D32+D35</f>
        <v>216842</v>
      </c>
      <c r="E24" s="123">
        <f>E25+E32+E35</f>
        <v>216842</v>
      </c>
      <c r="F24" s="123">
        <f>F25+F32+F35</f>
        <v>33692.51</v>
      </c>
      <c r="G24" s="184">
        <f>G25+G32+G35</f>
        <v>20047.68</v>
      </c>
      <c r="H24" s="123">
        <f t="shared" si="9"/>
        <v>-13644.830000000002</v>
      </c>
      <c r="I24" s="275">
        <f t="shared" si="12"/>
        <v>0.5950188929230859</v>
      </c>
      <c r="J24" s="129">
        <f t="shared" si="1"/>
        <v>-196794.32</v>
      </c>
      <c r="K24" s="173">
        <f aca="true" t="shared" si="15" ref="K24:K41">G24/E24</f>
        <v>0.09245293808395053</v>
      </c>
      <c r="L24" s="129"/>
      <c r="M24" s="129"/>
      <c r="N24" s="129"/>
      <c r="O24" s="129">
        <v>207231.03</v>
      </c>
      <c r="P24" s="129">
        <f t="shared" si="3"/>
        <v>9610.970000000001</v>
      </c>
      <c r="Q24" s="173">
        <f t="shared" si="4"/>
        <v>1.0463780448323787</v>
      </c>
      <c r="R24" s="129">
        <v>31455.05</v>
      </c>
      <c r="S24" s="132">
        <f t="shared" si="5"/>
        <v>-11407.369999999999</v>
      </c>
      <c r="T24" s="172">
        <f t="shared" si="14"/>
        <v>0.6373437651505879</v>
      </c>
      <c r="U24" s="128">
        <f>F24-січень!F24</f>
        <v>15541.000000000004</v>
      </c>
      <c r="V24" s="131">
        <f>G24-січень!G24</f>
        <v>1895.260000000002</v>
      </c>
      <c r="W24" s="132">
        <f t="shared" si="10"/>
        <v>-13645.740000000002</v>
      </c>
      <c r="X24" s="173">
        <f t="shared" si="13"/>
        <v>0.1219522553246253</v>
      </c>
      <c r="Y24" s="264">
        <f aca="true" t="shared" si="16" ref="Y24:Y99">T24-Q24</f>
        <v>-0.40903427968179085</v>
      </c>
      <c r="AB24" s="339"/>
    </row>
    <row r="25" spans="1:26" s="6" customFormat="1" ht="18">
      <c r="A25" s="8"/>
      <c r="B25" s="45" t="s">
        <v>69</v>
      </c>
      <c r="C25" s="101"/>
      <c r="D25" s="342">
        <f>D26+D27</f>
        <v>28784</v>
      </c>
      <c r="E25" s="204">
        <f>E26+E27</f>
        <v>28784</v>
      </c>
      <c r="F25" s="269">
        <f>F26+F27</f>
        <v>5421</v>
      </c>
      <c r="G25" s="165">
        <v>5026.85</v>
      </c>
      <c r="H25" s="204">
        <f t="shared" si="9"/>
        <v>-394.14999999999964</v>
      </c>
      <c r="I25" s="278">
        <f t="shared" si="12"/>
        <v>0.9272920125438112</v>
      </c>
      <c r="J25" s="205">
        <f t="shared" si="1"/>
        <v>-23757.15</v>
      </c>
      <c r="K25" s="230">
        <f t="shared" si="15"/>
        <v>0.17464042523624237</v>
      </c>
      <c r="L25" s="205"/>
      <c r="M25" s="205"/>
      <c r="N25" s="205"/>
      <c r="O25" s="205">
        <v>25414.16</v>
      </c>
      <c r="P25" s="205">
        <f t="shared" si="3"/>
        <v>3369.84</v>
      </c>
      <c r="Q25" s="230">
        <f t="shared" si="4"/>
        <v>1.1325969459545386</v>
      </c>
      <c r="R25" s="229">
        <v>4408.21</v>
      </c>
      <c r="S25" s="137">
        <f t="shared" si="5"/>
        <v>618.6400000000003</v>
      </c>
      <c r="T25" s="177">
        <f t="shared" si="14"/>
        <v>1.1403381417854412</v>
      </c>
      <c r="U25" s="128">
        <f>F25-січень!F25</f>
        <v>780</v>
      </c>
      <c r="V25" s="131">
        <f>G25-січень!G25</f>
        <v>384.96000000000004</v>
      </c>
      <c r="W25" s="137">
        <f t="shared" si="10"/>
        <v>-395.03999999999996</v>
      </c>
      <c r="X25" s="230">
        <f t="shared" si="13"/>
        <v>0.4935384615384616</v>
      </c>
      <c r="Y25" s="264">
        <f t="shared" si="16"/>
        <v>0.007741195830902603</v>
      </c>
      <c r="Z25" s="122"/>
    </row>
    <row r="26" spans="1:26" s="6" customFormat="1" ht="18" customHeight="1" hidden="1">
      <c r="A26" s="8"/>
      <c r="B26" s="161" t="s">
        <v>101</v>
      </c>
      <c r="C26" s="162"/>
      <c r="D26" s="346">
        <f>D28+D29</f>
        <v>1522</v>
      </c>
      <c r="E26" s="163">
        <f>E28+E29</f>
        <v>1522</v>
      </c>
      <c r="F26" s="163">
        <f>F28+F29</f>
        <v>195.11</v>
      </c>
      <c r="G26" s="163">
        <f>G28+G29</f>
        <v>221.79999999999998</v>
      </c>
      <c r="H26" s="184">
        <f t="shared" si="9"/>
        <v>26.68999999999997</v>
      </c>
      <c r="I26" s="279">
        <f t="shared" si="12"/>
        <v>1.136794628671006</v>
      </c>
      <c r="J26" s="226">
        <f t="shared" si="1"/>
        <v>-1300.2</v>
      </c>
      <c r="K26" s="243">
        <f t="shared" si="15"/>
        <v>0.1457293035479632</v>
      </c>
      <c r="L26" s="226"/>
      <c r="M26" s="226"/>
      <c r="N26" s="226"/>
      <c r="O26" s="226">
        <f>O28+O29</f>
        <v>1512.89</v>
      </c>
      <c r="P26" s="226">
        <f t="shared" si="3"/>
        <v>9.1099999999999</v>
      </c>
      <c r="Q26" s="243">
        <f t="shared" si="4"/>
        <v>1.006021587821983</v>
      </c>
      <c r="R26" s="164">
        <f>R28+R29</f>
        <v>150.23</v>
      </c>
      <c r="S26" s="268">
        <f t="shared" si="5"/>
        <v>71.57</v>
      </c>
      <c r="T26" s="188">
        <f t="shared" si="14"/>
        <v>1.4764028489649204</v>
      </c>
      <c r="U26" s="194">
        <f>F26-січень!F26</f>
        <v>40</v>
      </c>
      <c r="V26" s="194">
        <f>G26-січень!G26</f>
        <v>66.68999999999997</v>
      </c>
      <c r="W26" s="226">
        <f t="shared" si="10"/>
        <v>26.68999999999997</v>
      </c>
      <c r="X26" s="243">
        <f aca="true" t="shared" si="17" ref="X26:X41">V26/U26*100</f>
        <v>166.7249999999999</v>
      </c>
      <c r="Y26" s="264">
        <f t="shared" si="16"/>
        <v>0.47038126114293743</v>
      </c>
      <c r="Z26" s="122"/>
    </row>
    <row r="27" spans="1:26" s="6" customFormat="1" ht="18" customHeight="1" hidden="1">
      <c r="A27" s="8"/>
      <c r="B27" s="161" t="s">
        <v>102</v>
      </c>
      <c r="C27" s="162"/>
      <c r="D27" s="346">
        <f>D30+D31</f>
        <v>27262</v>
      </c>
      <c r="E27" s="163">
        <f>E30+E31</f>
        <v>27262</v>
      </c>
      <c r="F27" s="163">
        <f>F30+F31</f>
        <v>5225.89</v>
      </c>
      <c r="G27" s="163">
        <f>G30+G31</f>
        <v>4805.04</v>
      </c>
      <c r="H27" s="184">
        <f t="shared" si="9"/>
        <v>-420.85000000000036</v>
      </c>
      <c r="I27" s="279">
        <f t="shared" si="12"/>
        <v>0.9194682628222178</v>
      </c>
      <c r="J27" s="226">
        <f t="shared" si="1"/>
        <v>-22456.96</v>
      </c>
      <c r="K27" s="243">
        <f t="shared" si="15"/>
        <v>0.17625412662313844</v>
      </c>
      <c r="L27" s="226"/>
      <c r="M27" s="226"/>
      <c r="N27" s="226"/>
      <c r="O27" s="226">
        <f>O30+O31</f>
        <v>23901.28</v>
      </c>
      <c r="P27" s="226">
        <f t="shared" si="3"/>
        <v>3360.720000000001</v>
      </c>
      <c r="Q27" s="243">
        <f t="shared" si="4"/>
        <v>1.1406083690915299</v>
      </c>
      <c r="R27" s="164">
        <f>R30+R31</f>
        <v>4257.9800000000005</v>
      </c>
      <c r="S27" s="268">
        <f t="shared" si="5"/>
        <v>547.0599999999995</v>
      </c>
      <c r="T27" s="188">
        <f t="shared" si="14"/>
        <v>1.1284787622299775</v>
      </c>
      <c r="U27" s="194">
        <f>F27-січень!F27</f>
        <v>740</v>
      </c>
      <c r="V27" s="194">
        <f>G27-січень!G27</f>
        <v>318.25</v>
      </c>
      <c r="W27" s="226">
        <f t="shared" si="10"/>
        <v>-421.75</v>
      </c>
      <c r="X27" s="243">
        <f t="shared" si="17"/>
        <v>43.00675675675676</v>
      </c>
      <c r="Y27" s="264">
        <f t="shared" si="16"/>
        <v>-0.0121296068615524</v>
      </c>
      <c r="Z27" s="122"/>
    </row>
    <row r="28" spans="1:25" s="6" customFormat="1" ht="18" customHeight="1" hidden="1">
      <c r="A28" s="8"/>
      <c r="B28" s="272" t="s">
        <v>134</v>
      </c>
      <c r="C28" s="162">
        <v>18010100</v>
      </c>
      <c r="D28" s="355">
        <v>316</v>
      </c>
      <c r="E28" s="285">
        <v>316</v>
      </c>
      <c r="F28" s="286">
        <v>59.3</v>
      </c>
      <c r="G28" s="273">
        <v>31.29</v>
      </c>
      <c r="H28" s="285">
        <f t="shared" si="9"/>
        <v>-28.009999999999998</v>
      </c>
      <c r="I28" s="287">
        <f t="shared" si="12"/>
        <v>0.5276559865092749</v>
      </c>
      <c r="J28" s="288">
        <f t="shared" si="1"/>
        <v>-284.71</v>
      </c>
      <c r="K28" s="289">
        <f t="shared" si="15"/>
        <v>0.09901898734177215</v>
      </c>
      <c r="L28" s="226"/>
      <c r="M28" s="226"/>
      <c r="N28" s="226"/>
      <c r="O28" s="288">
        <v>275.91</v>
      </c>
      <c r="P28" s="288">
        <f t="shared" si="3"/>
        <v>40.089999999999975</v>
      </c>
      <c r="Q28" s="289">
        <f t="shared" si="4"/>
        <v>1.1453010039505636</v>
      </c>
      <c r="R28" s="288">
        <v>128.97</v>
      </c>
      <c r="S28" s="288">
        <f t="shared" si="5"/>
        <v>-97.68</v>
      </c>
      <c r="T28" s="289">
        <f t="shared" si="14"/>
        <v>0.24261456152593627</v>
      </c>
      <c r="U28" s="273">
        <f>F28-січень!F28</f>
        <v>29.999999999999996</v>
      </c>
      <c r="V28" s="273">
        <f>G28-січень!G28</f>
        <v>1.9899999999999984</v>
      </c>
      <c r="W28" s="288">
        <f t="shared" si="10"/>
        <v>-28.009999999999998</v>
      </c>
      <c r="X28" s="289">
        <f t="shared" si="17"/>
        <v>6.633333333333328</v>
      </c>
      <c r="Y28" s="264"/>
    </row>
    <row r="29" spans="1:25" s="6" customFormat="1" ht="18" customHeight="1" hidden="1">
      <c r="A29" s="8"/>
      <c r="B29" s="272" t="s">
        <v>132</v>
      </c>
      <c r="C29" s="162">
        <v>18010200</v>
      </c>
      <c r="D29" s="355">
        <v>1206</v>
      </c>
      <c r="E29" s="285">
        <v>1206</v>
      </c>
      <c r="F29" s="286">
        <v>135.81</v>
      </c>
      <c r="G29" s="273">
        <v>190.51</v>
      </c>
      <c r="H29" s="285">
        <f t="shared" si="9"/>
        <v>54.69999999999999</v>
      </c>
      <c r="I29" s="287">
        <f t="shared" si="12"/>
        <v>1.4027685737427287</v>
      </c>
      <c r="J29" s="288">
        <f t="shared" si="1"/>
        <v>-1015.49</v>
      </c>
      <c r="K29" s="289">
        <f t="shared" si="15"/>
        <v>0.15796849087893863</v>
      </c>
      <c r="L29" s="226"/>
      <c r="M29" s="226"/>
      <c r="N29" s="226"/>
      <c r="O29" s="288">
        <v>1236.98</v>
      </c>
      <c r="P29" s="288">
        <f t="shared" si="3"/>
        <v>-30.980000000000018</v>
      </c>
      <c r="Q29" s="289">
        <f t="shared" si="4"/>
        <v>0.9749551326618053</v>
      </c>
      <c r="R29" s="288">
        <v>21.26</v>
      </c>
      <c r="S29" s="288">
        <f t="shared" si="5"/>
        <v>169.25</v>
      </c>
      <c r="T29" s="289">
        <f t="shared" si="14"/>
        <v>8.960959548447788</v>
      </c>
      <c r="U29" s="273">
        <f>F29-січень!F29</f>
        <v>10</v>
      </c>
      <c r="V29" s="273">
        <f>G29-січень!G29</f>
        <v>64.69999999999999</v>
      </c>
      <c r="W29" s="288">
        <f t="shared" si="10"/>
        <v>54.69999999999999</v>
      </c>
      <c r="X29" s="289">
        <f t="shared" si="17"/>
        <v>646.9999999999999</v>
      </c>
      <c r="Y29" s="264"/>
    </row>
    <row r="30" spans="1:25" s="6" customFormat="1" ht="18" customHeight="1" hidden="1">
      <c r="A30" s="8"/>
      <c r="B30" s="272" t="s">
        <v>133</v>
      </c>
      <c r="C30" s="162">
        <v>18010300</v>
      </c>
      <c r="D30" s="355">
        <v>2355</v>
      </c>
      <c r="E30" s="285">
        <v>2355</v>
      </c>
      <c r="F30" s="286">
        <v>300.09</v>
      </c>
      <c r="G30" s="273">
        <v>404.1</v>
      </c>
      <c r="H30" s="285">
        <f t="shared" si="9"/>
        <v>104.01000000000005</v>
      </c>
      <c r="I30" s="287">
        <f t="shared" si="12"/>
        <v>1.346596021193642</v>
      </c>
      <c r="J30" s="288">
        <f t="shared" si="1"/>
        <v>-1950.9</v>
      </c>
      <c r="K30" s="289">
        <f t="shared" si="15"/>
        <v>0.1715923566878981</v>
      </c>
      <c r="L30" s="226"/>
      <c r="M30" s="226"/>
      <c r="N30" s="226"/>
      <c r="O30" s="288">
        <v>2220.25</v>
      </c>
      <c r="P30" s="288">
        <f t="shared" si="3"/>
        <v>134.75</v>
      </c>
      <c r="Q30" s="289">
        <f t="shared" si="4"/>
        <v>1.0606913635851818</v>
      </c>
      <c r="R30" s="288">
        <v>42.64</v>
      </c>
      <c r="S30" s="288">
        <f t="shared" si="5"/>
        <v>361.46000000000004</v>
      </c>
      <c r="T30" s="289">
        <f t="shared" si="14"/>
        <v>9.477016885553471</v>
      </c>
      <c r="U30" s="273">
        <f>F30-січень!F30</f>
        <v>19.999999999999943</v>
      </c>
      <c r="V30" s="273">
        <f>G30-січень!G30</f>
        <v>123.11000000000001</v>
      </c>
      <c r="W30" s="288">
        <f t="shared" si="10"/>
        <v>103.11000000000007</v>
      </c>
      <c r="X30" s="289">
        <f t="shared" si="17"/>
        <v>615.5500000000018</v>
      </c>
      <c r="Y30" s="264"/>
    </row>
    <row r="31" spans="1:25" s="6" customFormat="1" ht="18" customHeight="1" hidden="1">
      <c r="A31" s="8"/>
      <c r="B31" s="272" t="s">
        <v>135</v>
      </c>
      <c r="C31" s="162">
        <v>18010400</v>
      </c>
      <c r="D31" s="355">
        <v>24907</v>
      </c>
      <c r="E31" s="285">
        <v>24907</v>
      </c>
      <c r="F31" s="286">
        <v>4925.8</v>
      </c>
      <c r="G31" s="273">
        <v>4400.94</v>
      </c>
      <c r="H31" s="285">
        <f t="shared" si="9"/>
        <v>-524.8600000000006</v>
      </c>
      <c r="I31" s="287">
        <f t="shared" si="12"/>
        <v>0.8934467497665353</v>
      </c>
      <c r="J31" s="288">
        <f t="shared" si="1"/>
        <v>-20506.06</v>
      </c>
      <c r="K31" s="289">
        <f t="shared" si="15"/>
        <v>0.176694905046774</v>
      </c>
      <c r="L31" s="226"/>
      <c r="M31" s="226"/>
      <c r="N31" s="226"/>
      <c r="O31" s="288">
        <v>21681.03</v>
      </c>
      <c r="P31" s="288">
        <f t="shared" si="3"/>
        <v>3225.970000000001</v>
      </c>
      <c r="Q31" s="289">
        <f t="shared" si="4"/>
        <v>1.148792285237371</v>
      </c>
      <c r="R31" s="288">
        <v>4215.34</v>
      </c>
      <c r="S31" s="288">
        <f t="shared" si="5"/>
        <v>185.59999999999945</v>
      </c>
      <c r="T31" s="289">
        <f t="shared" si="14"/>
        <v>1.0440296630876749</v>
      </c>
      <c r="U31" s="273">
        <f>F31-січень!F31</f>
        <v>720</v>
      </c>
      <c r="V31" s="273">
        <f>G31-січень!G31</f>
        <v>195.13999999999942</v>
      </c>
      <c r="W31" s="288"/>
      <c r="X31" s="289">
        <f t="shared" si="17"/>
        <v>27.102777777777696</v>
      </c>
      <c r="Y31" s="264"/>
    </row>
    <row r="32" spans="1:25" s="6" customFormat="1" ht="18">
      <c r="A32" s="8"/>
      <c r="B32" s="45" t="s">
        <v>70</v>
      </c>
      <c r="C32" s="101"/>
      <c r="D32" s="356">
        <f>D33+D34</f>
        <v>282</v>
      </c>
      <c r="E32" s="140">
        <f>E33+E34</f>
        <v>282</v>
      </c>
      <c r="F32" s="140">
        <f>F33+F34</f>
        <v>159.03</v>
      </c>
      <c r="G32" s="141">
        <v>216</v>
      </c>
      <c r="H32" s="204">
        <f t="shared" si="9"/>
        <v>56.97</v>
      </c>
      <c r="I32" s="278">
        <f t="shared" si="12"/>
        <v>1.3582342954159592</v>
      </c>
      <c r="J32" s="205">
        <f t="shared" si="1"/>
        <v>-66</v>
      </c>
      <c r="K32" s="230">
        <f t="shared" si="15"/>
        <v>0.7659574468085106</v>
      </c>
      <c r="L32" s="205"/>
      <c r="M32" s="205"/>
      <c r="N32" s="205"/>
      <c r="O32" s="205">
        <v>645.26</v>
      </c>
      <c r="P32" s="205">
        <f t="shared" si="3"/>
        <v>-363.26</v>
      </c>
      <c r="Q32" s="230">
        <f t="shared" si="4"/>
        <v>0.43703313393050863</v>
      </c>
      <c r="R32" s="142">
        <v>79.17</v>
      </c>
      <c r="S32" s="142">
        <f t="shared" si="5"/>
        <v>136.82999999999998</v>
      </c>
      <c r="T32" s="175">
        <f t="shared" si="14"/>
        <v>2.7283061765820387</v>
      </c>
      <c r="U32" s="160">
        <f>F32-січень!F32</f>
        <v>2</v>
      </c>
      <c r="V32" s="145">
        <f>G32-січень!G32</f>
        <v>58.97</v>
      </c>
      <c r="W32" s="137">
        <f t="shared" si="10"/>
        <v>56.97</v>
      </c>
      <c r="X32" s="230">
        <f>V32/U32</f>
        <v>29.485</v>
      </c>
      <c r="Y32" s="265">
        <f t="shared" si="16"/>
        <v>2.29127304265153</v>
      </c>
    </row>
    <row r="33" spans="1:25" s="6" customFormat="1" ht="15" hidden="1">
      <c r="A33" s="8"/>
      <c r="B33" s="45" t="s">
        <v>136</v>
      </c>
      <c r="C33" s="101">
        <v>18011000</v>
      </c>
      <c r="D33" s="342">
        <v>100</v>
      </c>
      <c r="E33" s="87">
        <v>100</v>
      </c>
      <c r="F33" s="290">
        <v>27.85</v>
      </c>
      <c r="G33" s="115">
        <v>36.2</v>
      </c>
      <c r="H33" s="87">
        <f t="shared" si="9"/>
        <v>8.350000000000001</v>
      </c>
      <c r="I33" s="276">
        <f t="shared" si="12"/>
        <v>1.2998204667863555</v>
      </c>
      <c r="J33" s="88">
        <f t="shared" si="1"/>
        <v>-63.8</v>
      </c>
      <c r="K33" s="91">
        <f t="shared" si="15"/>
        <v>0.36200000000000004</v>
      </c>
      <c r="L33" s="88"/>
      <c r="M33" s="88"/>
      <c r="N33" s="88"/>
      <c r="O33" s="88">
        <v>241.36</v>
      </c>
      <c r="P33" s="88">
        <f t="shared" si="3"/>
        <v>-141.36</v>
      </c>
      <c r="Q33" s="91">
        <f t="shared" si="4"/>
        <v>0.41431885979449784</v>
      </c>
      <c r="R33" s="88">
        <v>25</v>
      </c>
      <c r="S33" s="88">
        <f t="shared" si="5"/>
        <v>11.200000000000003</v>
      </c>
      <c r="T33" s="91">
        <f t="shared" si="14"/>
        <v>1.4480000000000002</v>
      </c>
      <c r="U33" s="89">
        <f>F33-січень!F33</f>
        <v>0</v>
      </c>
      <c r="V33" s="119">
        <f>G33-січень!G33</f>
        <v>8.350000000000001</v>
      </c>
      <c r="W33" s="90">
        <f t="shared" si="10"/>
        <v>8.350000000000001</v>
      </c>
      <c r="X33" s="91" t="e">
        <f>V33/U33</f>
        <v>#DIV/0!</v>
      </c>
      <c r="Y33" s="265"/>
    </row>
    <row r="34" spans="1:25" s="6" customFormat="1" ht="15" hidden="1">
      <c r="A34" s="8"/>
      <c r="B34" s="45" t="s">
        <v>137</v>
      </c>
      <c r="C34" s="101">
        <v>18011100</v>
      </c>
      <c r="D34" s="342">
        <v>182</v>
      </c>
      <c r="E34" s="87">
        <v>182</v>
      </c>
      <c r="F34" s="290">
        <v>131.18</v>
      </c>
      <c r="G34" s="115">
        <v>179.81</v>
      </c>
      <c r="H34" s="87">
        <f t="shared" si="9"/>
        <v>48.629999999999995</v>
      </c>
      <c r="I34" s="276">
        <f t="shared" si="12"/>
        <v>1.3707119987803018</v>
      </c>
      <c r="J34" s="88">
        <f t="shared" si="1"/>
        <v>-2.1899999999999977</v>
      </c>
      <c r="K34" s="91">
        <f t="shared" si="15"/>
        <v>0.987967032967033</v>
      </c>
      <c r="L34" s="88"/>
      <c r="M34" s="88"/>
      <c r="N34" s="88"/>
      <c r="O34" s="88">
        <v>403.91</v>
      </c>
      <c r="P34" s="88">
        <f t="shared" si="3"/>
        <v>-221.91000000000003</v>
      </c>
      <c r="Q34" s="91">
        <f t="shared" si="4"/>
        <v>0.45059542967492755</v>
      </c>
      <c r="R34" s="88">
        <v>54.17</v>
      </c>
      <c r="S34" s="88">
        <f t="shared" si="5"/>
        <v>125.64</v>
      </c>
      <c r="T34" s="91">
        <f t="shared" si="14"/>
        <v>3.319364962156175</v>
      </c>
      <c r="U34" s="89">
        <f>F34-січень!F34</f>
        <v>2</v>
      </c>
      <c r="V34" s="119">
        <f>G34-січень!G34</f>
        <v>50.629999999999995</v>
      </c>
      <c r="W34" s="90"/>
      <c r="X34" s="91">
        <f>V34/U34</f>
        <v>25.314999999999998</v>
      </c>
      <c r="Y34" s="265"/>
    </row>
    <row r="35" spans="1:25" s="6" customFormat="1" ht="18">
      <c r="A35" s="8"/>
      <c r="B35" s="45" t="s">
        <v>71</v>
      </c>
      <c r="C35" s="101"/>
      <c r="D35" s="342">
        <f>D36+D37</f>
        <v>187776</v>
      </c>
      <c r="E35" s="140">
        <f>E36+E37</f>
        <v>187776</v>
      </c>
      <c r="F35" s="140">
        <f>F36+F37</f>
        <v>28112.48</v>
      </c>
      <c r="G35" s="141">
        <v>14804.83</v>
      </c>
      <c r="H35" s="123">
        <f t="shared" si="9"/>
        <v>-13307.65</v>
      </c>
      <c r="I35" s="278">
        <f t="shared" si="12"/>
        <v>0.5266283871077898</v>
      </c>
      <c r="J35" s="205">
        <f t="shared" si="1"/>
        <v>-172971.17</v>
      </c>
      <c r="K35" s="230">
        <f t="shared" si="15"/>
        <v>0.07884303638377642</v>
      </c>
      <c r="L35" s="205"/>
      <c r="M35" s="205"/>
      <c r="N35" s="205"/>
      <c r="O35" s="205">
        <v>181171.61</v>
      </c>
      <c r="P35" s="205">
        <f t="shared" si="3"/>
        <v>6604.390000000014</v>
      </c>
      <c r="Q35" s="230">
        <f t="shared" si="4"/>
        <v>1.0364537799272193</v>
      </c>
      <c r="R35" s="143">
        <v>26967.67</v>
      </c>
      <c r="S35" s="143">
        <f t="shared" si="5"/>
        <v>-12162.839999999998</v>
      </c>
      <c r="T35" s="174">
        <f t="shared" si="14"/>
        <v>0.548984395018183</v>
      </c>
      <c r="U35" s="160">
        <f>F35-січень!F35</f>
        <v>14759</v>
      </c>
      <c r="V35" s="145">
        <f>G35-січень!G35</f>
        <v>1451.33</v>
      </c>
      <c r="W35" s="137">
        <f t="shared" si="10"/>
        <v>-13307.67</v>
      </c>
      <c r="X35" s="230">
        <f>V35/U35</f>
        <v>0.09833525306592587</v>
      </c>
      <c r="Y35" s="265">
        <f t="shared" si="16"/>
        <v>-0.48746938490903635</v>
      </c>
    </row>
    <row r="36" spans="1:25" s="6" customFormat="1" ht="18" customHeight="1" hidden="1">
      <c r="A36" s="8"/>
      <c r="B36" s="161" t="s">
        <v>103</v>
      </c>
      <c r="C36" s="162"/>
      <c r="D36" s="357">
        <f>D38+D40</f>
        <v>60690</v>
      </c>
      <c r="E36" s="163">
        <f aca="true" t="shared" si="18" ref="E36:G37">E38+E40</f>
        <v>60690</v>
      </c>
      <c r="F36" s="163">
        <f t="shared" si="18"/>
        <v>9226.23</v>
      </c>
      <c r="G36" s="163">
        <v>4326.71</v>
      </c>
      <c r="H36" s="184">
        <f t="shared" si="9"/>
        <v>-4899.5199999999995</v>
      </c>
      <c r="I36" s="279">
        <f t="shared" si="12"/>
        <v>0.468957526530338</v>
      </c>
      <c r="J36" s="226">
        <f t="shared" si="1"/>
        <v>-56363.29</v>
      </c>
      <c r="K36" s="243">
        <f t="shared" si="15"/>
        <v>0.07129197561377493</v>
      </c>
      <c r="L36" s="226"/>
      <c r="M36" s="226"/>
      <c r="N36" s="226"/>
      <c r="O36" s="226">
        <f>O38+O40</f>
        <v>58608.68</v>
      </c>
      <c r="P36" s="226">
        <f t="shared" si="3"/>
        <v>2081.3199999999997</v>
      </c>
      <c r="Q36" s="243">
        <f t="shared" si="4"/>
        <v>1.0355121459824723</v>
      </c>
      <c r="R36" s="164">
        <f>R38+R40</f>
        <v>8859.21</v>
      </c>
      <c r="S36" s="164">
        <f t="shared" si="5"/>
        <v>-4532.499999999999</v>
      </c>
      <c r="T36" s="188">
        <f t="shared" si="14"/>
        <v>0.4883855332473212</v>
      </c>
      <c r="U36" s="194">
        <f>F36-січень!F36</f>
        <v>5159</v>
      </c>
      <c r="V36" s="194">
        <f>G36-січень!G36</f>
        <v>259.47000000000025</v>
      </c>
      <c r="W36" s="226">
        <f t="shared" si="10"/>
        <v>-4899.53</v>
      </c>
      <c r="X36" s="243">
        <f t="shared" si="17"/>
        <v>5.029463074239199</v>
      </c>
      <c r="Y36" s="264">
        <f t="shared" si="16"/>
        <v>-0.5471266127351511</v>
      </c>
    </row>
    <row r="37" spans="1:25" s="6" customFormat="1" ht="18" customHeight="1" hidden="1">
      <c r="A37" s="8"/>
      <c r="B37" s="161" t="s">
        <v>104</v>
      </c>
      <c r="C37" s="162"/>
      <c r="D37" s="357">
        <f>D39+D41</f>
        <v>127086</v>
      </c>
      <c r="E37" s="163">
        <f t="shared" si="18"/>
        <v>127086</v>
      </c>
      <c r="F37" s="163">
        <f t="shared" si="18"/>
        <v>18886.25</v>
      </c>
      <c r="G37" s="163">
        <f t="shared" si="18"/>
        <v>10460.66</v>
      </c>
      <c r="H37" s="184">
        <f t="shared" si="9"/>
        <v>-8425.59</v>
      </c>
      <c r="I37" s="279">
        <f t="shared" si="12"/>
        <v>0.5538770269375869</v>
      </c>
      <c r="J37" s="226">
        <f t="shared" si="1"/>
        <v>-116625.34</v>
      </c>
      <c r="K37" s="243">
        <f t="shared" si="15"/>
        <v>0.08231166296838362</v>
      </c>
      <c r="L37" s="226"/>
      <c r="M37" s="226"/>
      <c r="N37" s="226"/>
      <c r="O37" s="226">
        <f>O39+O41</f>
        <v>122562.93000000001</v>
      </c>
      <c r="P37" s="226">
        <f t="shared" si="3"/>
        <v>4523.069999999992</v>
      </c>
      <c r="Q37" s="243">
        <f t="shared" si="4"/>
        <v>1.0369040622641772</v>
      </c>
      <c r="R37" s="164">
        <f>R39+R41</f>
        <v>18108.45</v>
      </c>
      <c r="S37" s="164">
        <f t="shared" si="5"/>
        <v>-7647.790000000001</v>
      </c>
      <c r="T37" s="188">
        <f t="shared" si="14"/>
        <v>0.577667332101864</v>
      </c>
      <c r="U37" s="194">
        <f>F37-січень!F37</f>
        <v>9600</v>
      </c>
      <c r="V37" s="194">
        <f>G37-січень!G37</f>
        <v>1174.3999999999996</v>
      </c>
      <c r="W37" s="226">
        <f t="shared" si="10"/>
        <v>-8425.6</v>
      </c>
      <c r="X37" s="243">
        <f t="shared" si="17"/>
        <v>12.233333333333329</v>
      </c>
      <c r="Y37" s="264">
        <f t="shared" si="16"/>
        <v>-0.45923673016231314</v>
      </c>
    </row>
    <row r="38" spans="1:25" s="6" customFormat="1" ht="18" customHeight="1" hidden="1">
      <c r="A38" s="8"/>
      <c r="B38" s="274" t="s">
        <v>138</v>
      </c>
      <c r="C38" s="162">
        <v>18010500</v>
      </c>
      <c r="D38" s="355">
        <v>57290</v>
      </c>
      <c r="E38" s="285">
        <v>57290</v>
      </c>
      <c r="F38" s="285">
        <v>8884.4</v>
      </c>
      <c r="G38" s="273">
        <v>4249.84</v>
      </c>
      <c r="H38" s="285">
        <f t="shared" si="9"/>
        <v>-4634.5599999999995</v>
      </c>
      <c r="I38" s="287">
        <f t="shared" si="12"/>
        <v>0.4783485660258431</v>
      </c>
      <c r="J38" s="288">
        <f t="shared" si="1"/>
        <v>-53040.16</v>
      </c>
      <c r="K38" s="289">
        <f t="shared" si="15"/>
        <v>0.07418118345260953</v>
      </c>
      <c r="L38" s="226"/>
      <c r="M38" s="226"/>
      <c r="N38" s="226"/>
      <c r="O38" s="288">
        <v>55246.24</v>
      </c>
      <c r="P38" s="288">
        <f t="shared" si="3"/>
        <v>2043.760000000002</v>
      </c>
      <c r="Q38" s="289">
        <f t="shared" si="4"/>
        <v>1.0369936487985427</v>
      </c>
      <c r="R38" s="288">
        <v>8645.88</v>
      </c>
      <c r="S38" s="288">
        <f t="shared" si="5"/>
        <v>-4396.039999999999</v>
      </c>
      <c r="T38" s="289">
        <f t="shared" si="14"/>
        <v>0.49154510587701894</v>
      </c>
      <c r="U38" s="273">
        <f>F38-січень!F38</f>
        <v>4900</v>
      </c>
      <c r="V38" s="273">
        <f>G38-січень!G38</f>
        <v>265.4300000000003</v>
      </c>
      <c r="W38" s="288">
        <f t="shared" si="10"/>
        <v>-4634.57</v>
      </c>
      <c r="X38" s="289">
        <f t="shared" si="17"/>
        <v>5.41693877551021</v>
      </c>
      <c r="Y38" s="264"/>
    </row>
    <row r="39" spans="1:25" s="6" customFormat="1" ht="18" customHeight="1" hidden="1">
      <c r="A39" s="8"/>
      <c r="B39" s="274" t="s">
        <v>139</v>
      </c>
      <c r="C39" s="162">
        <v>18010600</v>
      </c>
      <c r="D39" s="355">
        <v>105986</v>
      </c>
      <c r="E39" s="285">
        <v>105986</v>
      </c>
      <c r="F39" s="285">
        <v>15793.45</v>
      </c>
      <c r="G39" s="273">
        <v>8505.57</v>
      </c>
      <c r="H39" s="285">
        <f t="shared" si="9"/>
        <v>-7287.880000000001</v>
      </c>
      <c r="I39" s="287">
        <f t="shared" si="12"/>
        <v>0.5385504750387027</v>
      </c>
      <c r="J39" s="288">
        <f t="shared" si="1"/>
        <v>-97480.43</v>
      </c>
      <c r="K39" s="289">
        <f t="shared" si="15"/>
        <v>0.08025182571282999</v>
      </c>
      <c r="L39" s="226"/>
      <c r="M39" s="226"/>
      <c r="N39" s="226"/>
      <c r="O39" s="288">
        <v>102196.35</v>
      </c>
      <c r="P39" s="288">
        <f t="shared" si="3"/>
        <v>3789.649999999994</v>
      </c>
      <c r="Q39" s="289">
        <f t="shared" si="4"/>
        <v>1.0370820484293226</v>
      </c>
      <c r="R39" s="288">
        <v>14982.8</v>
      </c>
      <c r="S39" s="288">
        <f t="shared" si="5"/>
        <v>-6477.23</v>
      </c>
      <c r="T39" s="289">
        <f t="shared" si="14"/>
        <v>0.5676889499959954</v>
      </c>
      <c r="U39" s="273">
        <f>F39-січень!F39</f>
        <v>8000.000000000001</v>
      </c>
      <c r="V39" s="273">
        <f>G39-січень!G39</f>
        <v>712.1199999999999</v>
      </c>
      <c r="W39" s="288">
        <f t="shared" si="10"/>
        <v>-7287.880000000001</v>
      </c>
      <c r="X39" s="289">
        <f t="shared" si="17"/>
        <v>8.901499999999999</v>
      </c>
      <c r="Y39" s="264"/>
    </row>
    <row r="40" spans="1:25" s="6" customFormat="1" ht="18" customHeight="1" hidden="1">
      <c r="A40" s="8"/>
      <c r="B40" s="274" t="s">
        <v>140</v>
      </c>
      <c r="C40" s="162">
        <v>18010700</v>
      </c>
      <c r="D40" s="355">
        <v>3400</v>
      </c>
      <c r="E40" s="285">
        <v>3400</v>
      </c>
      <c r="F40" s="285">
        <v>341.83</v>
      </c>
      <c r="G40" s="273">
        <v>94.33</v>
      </c>
      <c r="H40" s="285">
        <f t="shared" si="9"/>
        <v>-247.5</v>
      </c>
      <c r="I40" s="287">
        <f t="shared" si="12"/>
        <v>0.2759558845039932</v>
      </c>
      <c r="J40" s="288">
        <f t="shared" si="1"/>
        <v>-3305.67</v>
      </c>
      <c r="K40" s="289">
        <f t="shared" si="15"/>
        <v>0.027744117647058822</v>
      </c>
      <c r="L40" s="226"/>
      <c r="M40" s="226"/>
      <c r="N40" s="226"/>
      <c r="O40" s="288">
        <v>3362.44</v>
      </c>
      <c r="P40" s="288">
        <f t="shared" si="3"/>
        <v>37.559999999999945</v>
      </c>
      <c r="Q40" s="289">
        <f t="shared" si="4"/>
        <v>1.0111704595472335</v>
      </c>
      <c r="R40" s="288">
        <v>213.33</v>
      </c>
      <c r="S40" s="288">
        <f t="shared" si="5"/>
        <v>-119.00000000000001</v>
      </c>
      <c r="T40" s="289">
        <f t="shared" si="14"/>
        <v>0.44217878404350064</v>
      </c>
      <c r="U40" s="273">
        <f>F40-січень!F40</f>
        <v>259</v>
      </c>
      <c r="V40" s="273">
        <f>G40-січень!G40</f>
        <v>11.5</v>
      </c>
      <c r="W40" s="288">
        <f t="shared" si="10"/>
        <v>-247.5</v>
      </c>
      <c r="X40" s="289">
        <f t="shared" si="17"/>
        <v>4.440154440154441</v>
      </c>
      <c r="Y40" s="264"/>
    </row>
    <row r="41" spans="1:25" s="6" customFormat="1" ht="18" customHeight="1" hidden="1">
      <c r="A41" s="8"/>
      <c r="B41" s="274" t="s">
        <v>141</v>
      </c>
      <c r="C41" s="162">
        <v>18010900</v>
      </c>
      <c r="D41" s="355">
        <v>21100</v>
      </c>
      <c r="E41" s="285">
        <v>21100</v>
      </c>
      <c r="F41" s="285">
        <v>3092.8</v>
      </c>
      <c r="G41" s="273">
        <v>1955.09</v>
      </c>
      <c r="H41" s="285">
        <f t="shared" si="9"/>
        <v>-1137.7100000000003</v>
      </c>
      <c r="I41" s="287">
        <f t="shared" si="12"/>
        <v>0.6321423952405587</v>
      </c>
      <c r="J41" s="288">
        <f t="shared" si="1"/>
        <v>-19144.91</v>
      </c>
      <c r="K41" s="289">
        <f t="shared" si="15"/>
        <v>0.09265829383886255</v>
      </c>
      <c r="L41" s="226"/>
      <c r="M41" s="226"/>
      <c r="N41" s="226"/>
      <c r="O41" s="288">
        <v>20366.58</v>
      </c>
      <c r="P41" s="288">
        <f t="shared" si="3"/>
        <v>733.4199999999983</v>
      </c>
      <c r="Q41" s="289">
        <f t="shared" si="4"/>
        <v>1.0360109552021006</v>
      </c>
      <c r="R41" s="288">
        <v>3125.65</v>
      </c>
      <c r="S41" s="288">
        <f t="shared" si="5"/>
        <v>-1170.5600000000002</v>
      </c>
      <c r="T41" s="289">
        <f t="shared" si="14"/>
        <v>0.6254986962711756</v>
      </c>
      <c r="U41" s="273">
        <f>F41-січень!F41</f>
        <v>1600.0000000000002</v>
      </c>
      <c r="V41" s="273">
        <f>G41-січень!G41</f>
        <v>462.28</v>
      </c>
      <c r="W41" s="288">
        <f t="shared" si="10"/>
        <v>-1137.7200000000003</v>
      </c>
      <c r="X41" s="289">
        <f t="shared" si="17"/>
        <v>28.892499999999995</v>
      </c>
      <c r="Y41" s="264"/>
    </row>
    <row r="42" spans="1:25" s="6" customFormat="1" ht="18">
      <c r="A42" s="8"/>
      <c r="B42" s="185" t="s">
        <v>106</v>
      </c>
      <c r="C42" s="183">
        <v>18020000</v>
      </c>
      <c r="D42" s="347"/>
      <c r="E42" s="133">
        <v>0</v>
      </c>
      <c r="F42" s="133">
        <f>E42</f>
        <v>0</v>
      </c>
      <c r="G42" s="163">
        <v>0</v>
      </c>
      <c r="H42" s="123">
        <f t="shared" si="9"/>
        <v>0</v>
      </c>
      <c r="I42" s="275"/>
      <c r="J42" s="129">
        <f t="shared" si="1"/>
        <v>0</v>
      </c>
      <c r="K42" s="129"/>
      <c r="L42" s="129"/>
      <c r="M42" s="129"/>
      <c r="N42" s="129"/>
      <c r="O42" s="129">
        <v>0.2</v>
      </c>
      <c r="P42" s="129">
        <f t="shared" si="3"/>
        <v>-0.2</v>
      </c>
      <c r="Q42" s="173">
        <f t="shared" si="4"/>
        <v>0</v>
      </c>
      <c r="R42" s="138">
        <v>0.2</v>
      </c>
      <c r="S42" s="129">
        <f t="shared" si="5"/>
        <v>-0.2</v>
      </c>
      <c r="T42" s="173"/>
      <c r="U42" s="128">
        <f>F42-січень!F42</f>
        <v>0</v>
      </c>
      <c r="V42" s="131">
        <f>G42-січень!G42</f>
        <v>0</v>
      </c>
      <c r="W42" s="132">
        <f t="shared" si="10"/>
        <v>0</v>
      </c>
      <c r="X42" s="173"/>
      <c r="Y42" s="264">
        <f t="shared" si="16"/>
        <v>0</v>
      </c>
    </row>
    <row r="43" spans="1:25" s="6" customFormat="1" ht="18">
      <c r="A43" s="8"/>
      <c r="B43" s="39" t="s">
        <v>77</v>
      </c>
      <c r="C43" s="95">
        <v>18030000</v>
      </c>
      <c r="D43" s="345">
        <f>D44+D45</f>
        <v>174.4</v>
      </c>
      <c r="E43" s="123">
        <f>E44+E45</f>
        <v>174.4</v>
      </c>
      <c r="F43" s="123">
        <f>F44+F45</f>
        <v>32.43</v>
      </c>
      <c r="G43" s="127">
        <v>19.95</v>
      </c>
      <c r="H43" s="123">
        <f t="shared" si="9"/>
        <v>-12.48</v>
      </c>
      <c r="I43" s="275">
        <f>G43/F43</f>
        <v>0.6151711378353376</v>
      </c>
      <c r="J43" s="129">
        <f t="shared" si="1"/>
        <v>-154.45000000000002</v>
      </c>
      <c r="K43" s="173">
        <f>G43/E43</f>
        <v>0.11439220183486237</v>
      </c>
      <c r="L43" s="129"/>
      <c r="M43" s="129"/>
      <c r="N43" s="129"/>
      <c r="O43" s="129">
        <v>156.82</v>
      </c>
      <c r="P43" s="129">
        <f t="shared" si="3"/>
        <v>17.580000000000013</v>
      </c>
      <c r="Q43" s="173">
        <f t="shared" si="4"/>
        <v>1.112103048080602</v>
      </c>
      <c r="R43" s="138">
        <v>34.2</v>
      </c>
      <c r="S43" s="129">
        <f t="shared" si="5"/>
        <v>-14.250000000000004</v>
      </c>
      <c r="T43" s="173">
        <f aca="true" t="shared" si="19" ref="T43:T51">G43/R43</f>
        <v>0.5833333333333333</v>
      </c>
      <c r="U43" s="128">
        <f>F43-січень!F43</f>
        <v>22</v>
      </c>
      <c r="V43" s="131">
        <f>G43-січень!G43</f>
        <v>9.52</v>
      </c>
      <c r="W43" s="132">
        <f t="shared" si="10"/>
        <v>-12.48</v>
      </c>
      <c r="X43" s="173">
        <f>V43/U43</f>
        <v>0.4327272727272727</v>
      </c>
      <c r="Y43" s="264">
        <f t="shared" si="16"/>
        <v>-0.5287697147472687</v>
      </c>
    </row>
    <row r="44" spans="1:25" s="6" customFormat="1" ht="15" hidden="1">
      <c r="A44" s="8"/>
      <c r="B44" s="45" t="s">
        <v>142</v>
      </c>
      <c r="C44" s="86">
        <v>18031000</v>
      </c>
      <c r="D44" s="342">
        <v>100.9</v>
      </c>
      <c r="E44" s="87">
        <v>100.9</v>
      </c>
      <c r="F44" s="87">
        <v>24.9</v>
      </c>
      <c r="G44" s="115">
        <v>12.54</v>
      </c>
      <c r="H44" s="87">
        <f t="shared" si="9"/>
        <v>-12.36</v>
      </c>
      <c r="I44" s="276">
        <f>G44/F44</f>
        <v>0.5036144578313253</v>
      </c>
      <c r="J44" s="88">
        <f t="shared" si="1"/>
        <v>-88.36000000000001</v>
      </c>
      <c r="K44" s="91">
        <f>G44/E44</f>
        <v>0.12428146679881069</v>
      </c>
      <c r="L44" s="88"/>
      <c r="M44" s="88"/>
      <c r="N44" s="88"/>
      <c r="O44" s="88">
        <v>95.14</v>
      </c>
      <c r="P44" s="88">
        <f t="shared" si="3"/>
        <v>5.760000000000005</v>
      </c>
      <c r="Q44" s="91">
        <f t="shared" si="4"/>
        <v>1.0605423586293883</v>
      </c>
      <c r="R44" s="88">
        <v>19.86</v>
      </c>
      <c r="S44" s="88">
        <f t="shared" si="5"/>
        <v>-7.32</v>
      </c>
      <c r="T44" s="91">
        <f t="shared" si="19"/>
        <v>0.6314199395770392</v>
      </c>
      <c r="U44" s="89">
        <f>F44-січень!F44</f>
        <v>14.999999999999998</v>
      </c>
      <c r="V44" s="119">
        <f>G44-січень!G44</f>
        <v>2.639999999999999</v>
      </c>
      <c r="W44" s="90">
        <f t="shared" si="10"/>
        <v>-12.36</v>
      </c>
      <c r="X44" s="91">
        <f>V44/U44</f>
        <v>0.17599999999999993</v>
      </c>
      <c r="Y44" s="264"/>
    </row>
    <row r="45" spans="1:25" s="6" customFormat="1" ht="15" hidden="1">
      <c r="A45" s="8"/>
      <c r="B45" s="45" t="s">
        <v>143</v>
      </c>
      <c r="C45" s="86">
        <v>18031100</v>
      </c>
      <c r="D45" s="342">
        <v>73.5</v>
      </c>
      <c r="E45" s="87">
        <v>73.5</v>
      </c>
      <c r="F45" s="87">
        <v>7.53</v>
      </c>
      <c r="G45" s="115">
        <v>7.41</v>
      </c>
      <c r="H45" s="87">
        <f t="shared" si="9"/>
        <v>-0.1200000000000001</v>
      </c>
      <c r="I45" s="276">
        <f>G45/F45</f>
        <v>0.9840637450199203</v>
      </c>
      <c r="J45" s="88">
        <f t="shared" si="1"/>
        <v>-66.09</v>
      </c>
      <c r="K45" s="91">
        <f>G45/E45</f>
        <v>0.10081632653061225</v>
      </c>
      <c r="L45" s="88"/>
      <c r="M45" s="88"/>
      <c r="N45" s="88"/>
      <c r="O45" s="88">
        <v>61.68</v>
      </c>
      <c r="P45" s="88">
        <f t="shared" si="3"/>
        <v>11.82</v>
      </c>
      <c r="Q45" s="91">
        <f t="shared" si="4"/>
        <v>1.1916342412451362</v>
      </c>
      <c r="R45" s="88">
        <v>14.34</v>
      </c>
      <c r="S45" s="88">
        <f t="shared" si="5"/>
        <v>-6.93</v>
      </c>
      <c r="T45" s="91">
        <f t="shared" si="19"/>
        <v>0.5167364016736402</v>
      </c>
      <c r="U45" s="89">
        <f>F45-січень!F45</f>
        <v>7</v>
      </c>
      <c r="V45" s="119">
        <f>G45-січень!G45</f>
        <v>6.88</v>
      </c>
      <c r="W45" s="90">
        <f t="shared" si="10"/>
        <v>-0.1200000000000001</v>
      </c>
      <c r="X45" s="91">
        <f>V45/U45</f>
        <v>0.9828571428571429</v>
      </c>
      <c r="Y45" s="264"/>
    </row>
    <row r="46" spans="1:25" s="6" customFormat="1" ht="30.75">
      <c r="A46" s="8"/>
      <c r="B46" s="185" t="s">
        <v>78</v>
      </c>
      <c r="C46" s="95">
        <v>18040000</v>
      </c>
      <c r="D46" s="345"/>
      <c r="E46" s="123"/>
      <c r="F46" s="123"/>
      <c r="G46" s="127">
        <v>-2.34</v>
      </c>
      <c r="H46" s="123">
        <f t="shared" si="9"/>
        <v>-2.34</v>
      </c>
      <c r="I46" s="275"/>
      <c r="J46" s="129">
        <f t="shared" si="1"/>
        <v>-2.34</v>
      </c>
      <c r="K46" s="173"/>
      <c r="L46" s="129"/>
      <c r="M46" s="129"/>
      <c r="N46" s="129"/>
      <c r="O46" s="129">
        <v>-50.78</v>
      </c>
      <c r="P46" s="129">
        <f t="shared" si="3"/>
        <v>50.78</v>
      </c>
      <c r="Q46" s="173">
        <f t="shared" si="4"/>
        <v>0</v>
      </c>
      <c r="R46" s="129">
        <v>-10.76</v>
      </c>
      <c r="S46" s="129">
        <f t="shared" si="5"/>
        <v>8.42</v>
      </c>
      <c r="T46" s="173">
        <f t="shared" si="19"/>
        <v>0.21747211895910779</v>
      </c>
      <c r="U46" s="128">
        <f>F46-січень!F46</f>
        <v>0</v>
      </c>
      <c r="V46" s="131">
        <f>G46-січень!G46</f>
        <v>-1.4299999999999997</v>
      </c>
      <c r="W46" s="132">
        <f t="shared" si="10"/>
        <v>-1.4299999999999997</v>
      </c>
      <c r="X46" s="173"/>
      <c r="Y46" s="264">
        <f t="shared" si="16"/>
        <v>0.21747211895910779</v>
      </c>
    </row>
    <row r="47" spans="1:25" s="6" customFormat="1" ht="18">
      <c r="A47" s="8"/>
      <c r="B47" s="39" t="s">
        <v>79</v>
      </c>
      <c r="C47" s="95">
        <v>18050000</v>
      </c>
      <c r="D47" s="345">
        <f>D48+D49+D50+D51</f>
        <v>254550.8</v>
      </c>
      <c r="E47" s="133">
        <f>E48+E49+E50+E51</f>
        <v>254550.8</v>
      </c>
      <c r="F47" s="133">
        <f>F48+F49+F50+F51</f>
        <v>54948.16</v>
      </c>
      <c r="G47" s="134">
        <v>42649.55</v>
      </c>
      <c r="H47" s="123">
        <f t="shared" si="9"/>
        <v>-12298.61</v>
      </c>
      <c r="I47" s="275">
        <f>G47/F47*100</f>
        <v>77.617794663188</v>
      </c>
      <c r="J47" s="129">
        <f t="shared" si="1"/>
        <v>-211901.25</v>
      </c>
      <c r="K47" s="173">
        <f>G47/E47</f>
        <v>0.16754828505744238</v>
      </c>
      <c r="L47" s="129"/>
      <c r="M47" s="129"/>
      <c r="N47" s="129"/>
      <c r="O47" s="129">
        <v>223368.23</v>
      </c>
      <c r="P47" s="129">
        <f t="shared" si="3"/>
        <v>31182.569999999978</v>
      </c>
      <c r="Q47" s="173">
        <f t="shared" si="4"/>
        <v>1.139601634484904</v>
      </c>
      <c r="R47" s="144">
        <v>47628.56</v>
      </c>
      <c r="S47" s="144">
        <f t="shared" si="5"/>
        <v>-4979.009999999995</v>
      </c>
      <c r="T47" s="186">
        <f t="shared" si="19"/>
        <v>0.8954616725762863</v>
      </c>
      <c r="U47" s="128">
        <f>F47-січень!F47</f>
        <v>29902.000000000004</v>
      </c>
      <c r="V47" s="131">
        <f>G47-січень!G47</f>
        <v>17603.350000000002</v>
      </c>
      <c r="W47" s="132">
        <f t="shared" si="10"/>
        <v>-12298.650000000001</v>
      </c>
      <c r="X47" s="173">
        <f>V47/U47</f>
        <v>0.5887014246538693</v>
      </c>
      <c r="Y47" s="264">
        <f t="shared" si="16"/>
        <v>-0.24413996190861775</v>
      </c>
    </row>
    <row r="48" spans="1:25" s="6" customFormat="1" ht="15" customHeight="1" hidden="1">
      <c r="A48" s="8"/>
      <c r="B48" s="45" t="s">
        <v>85</v>
      </c>
      <c r="C48" s="86">
        <v>18050200</v>
      </c>
      <c r="D48" s="342"/>
      <c r="E48" s="87">
        <v>0</v>
      </c>
      <c r="F48" s="87">
        <f>E48</f>
        <v>0</v>
      </c>
      <c r="G48" s="115">
        <v>0.01</v>
      </c>
      <c r="H48" s="87">
        <f>G48-F48</f>
        <v>0.01</v>
      </c>
      <c r="I48" s="276"/>
      <c r="J48" s="88">
        <f t="shared" si="1"/>
        <v>0.01</v>
      </c>
      <c r="K48" s="91"/>
      <c r="L48" s="88"/>
      <c r="M48" s="88"/>
      <c r="N48" s="88"/>
      <c r="O48" s="88">
        <v>0.01</v>
      </c>
      <c r="P48" s="88">
        <f t="shared" si="3"/>
        <v>-0.01</v>
      </c>
      <c r="Q48" s="91">
        <f t="shared" si="4"/>
        <v>0</v>
      </c>
      <c r="R48" s="105">
        <f>O48</f>
        <v>0.01</v>
      </c>
      <c r="S48" s="105">
        <f t="shared" si="5"/>
        <v>0</v>
      </c>
      <c r="T48" s="178">
        <f t="shared" si="19"/>
        <v>1</v>
      </c>
      <c r="U48" s="89">
        <f>F48-січень!F48</f>
        <v>0</v>
      </c>
      <c r="V48" s="119">
        <f>G48-січень!G48</f>
        <v>0</v>
      </c>
      <c r="W48" s="90">
        <f t="shared" si="10"/>
        <v>0</v>
      </c>
      <c r="X48" s="91"/>
      <c r="Y48" s="264">
        <f t="shared" si="16"/>
        <v>1</v>
      </c>
    </row>
    <row r="49" spans="1:25" s="6" customFormat="1" ht="15" customHeight="1" hidden="1">
      <c r="A49" s="8"/>
      <c r="B49" s="45" t="s">
        <v>86</v>
      </c>
      <c r="C49" s="86">
        <v>18050300</v>
      </c>
      <c r="D49" s="342">
        <v>55715</v>
      </c>
      <c r="E49" s="87">
        <v>55715</v>
      </c>
      <c r="F49" s="87">
        <v>10683.87</v>
      </c>
      <c r="G49" s="115">
        <v>7842.38</v>
      </c>
      <c r="H49" s="87">
        <f>G49-F49</f>
        <v>-2841.4900000000007</v>
      </c>
      <c r="I49" s="276">
        <f>G49/F49</f>
        <v>0.7340392573103192</v>
      </c>
      <c r="J49" s="88">
        <f t="shared" si="1"/>
        <v>-47872.62</v>
      </c>
      <c r="K49" s="91">
        <f>G49/E49</f>
        <v>0.14075886206587096</v>
      </c>
      <c r="L49" s="88"/>
      <c r="M49" s="88"/>
      <c r="N49" s="88"/>
      <c r="O49" s="88">
        <v>45030.34</v>
      </c>
      <c r="P49" s="88">
        <f t="shared" si="3"/>
        <v>10684.660000000003</v>
      </c>
      <c r="Q49" s="91">
        <f t="shared" si="4"/>
        <v>1.2372769115223203</v>
      </c>
      <c r="R49" s="105">
        <v>9755.95</v>
      </c>
      <c r="S49" s="105">
        <f t="shared" si="5"/>
        <v>-1913.5700000000006</v>
      </c>
      <c r="T49" s="178">
        <f t="shared" si="19"/>
        <v>0.8038561083236383</v>
      </c>
      <c r="U49" s="89">
        <f>F49-січень!F49</f>
        <v>6800.000000000001</v>
      </c>
      <c r="V49" s="119">
        <f>G49-січень!G49</f>
        <v>3958.51</v>
      </c>
      <c r="W49" s="90">
        <f t="shared" si="10"/>
        <v>-2841.4900000000007</v>
      </c>
      <c r="X49" s="91">
        <f>V49/U49</f>
        <v>0.5821338235294117</v>
      </c>
      <c r="Y49" s="264">
        <f t="shared" si="16"/>
        <v>-0.43342080319868204</v>
      </c>
    </row>
    <row r="50" spans="1:25" s="6" customFormat="1" ht="15" customHeight="1" hidden="1">
      <c r="A50" s="8"/>
      <c r="B50" s="45" t="s">
        <v>87</v>
      </c>
      <c r="C50" s="86">
        <v>18050400</v>
      </c>
      <c r="D50" s="342">
        <v>198755</v>
      </c>
      <c r="E50" s="87">
        <v>198755</v>
      </c>
      <c r="F50" s="87">
        <v>44240.49</v>
      </c>
      <c r="G50" s="115">
        <v>34785.34</v>
      </c>
      <c r="H50" s="87">
        <f>G50-F50</f>
        <v>-9455.150000000001</v>
      </c>
      <c r="I50" s="276">
        <f>G50/F50</f>
        <v>0.7862783617450891</v>
      </c>
      <c r="J50" s="88">
        <f t="shared" si="1"/>
        <v>-163969.66</v>
      </c>
      <c r="K50" s="91">
        <f>G50/E50</f>
        <v>0.1750161756936932</v>
      </c>
      <c r="L50" s="88"/>
      <c r="M50" s="88"/>
      <c r="N50" s="88"/>
      <c r="O50" s="88">
        <v>178270.24</v>
      </c>
      <c r="P50" s="88">
        <f t="shared" si="3"/>
        <v>20484.76000000001</v>
      </c>
      <c r="Q50" s="91">
        <f t="shared" si="4"/>
        <v>1.11490846705541</v>
      </c>
      <c r="R50" s="105">
        <v>37856.5</v>
      </c>
      <c r="S50" s="105">
        <f t="shared" si="5"/>
        <v>-3071.1600000000035</v>
      </c>
      <c r="T50" s="178">
        <f t="shared" si="19"/>
        <v>0.9188736412505117</v>
      </c>
      <c r="U50" s="89">
        <f>F50-січень!F50</f>
        <v>23099.999999999996</v>
      </c>
      <c r="V50" s="119">
        <f>G50-січень!G50</f>
        <v>13644.849999999995</v>
      </c>
      <c r="W50" s="90">
        <f t="shared" si="10"/>
        <v>-9455.150000000001</v>
      </c>
      <c r="X50" s="91">
        <f>V50/U50</f>
        <v>0.5906861471861471</v>
      </c>
      <c r="Y50" s="264">
        <f t="shared" si="16"/>
        <v>-0.19603482580489817</v>
      </c>
    </row>
    <row r="51" spans="1:25" s="6" customFormat="1" ht="15" customHeight="1" hidden="1">
      <c r="A51" s="8"/>
      <c r="B51" s="45" t="s">
        <v>88</v>
      </c>
      <c r="C51" s="86">
        <v>18050500</v>
      </c>
      <c r="D51" s="342">
        <v>80.8</v>
      </c>
      <c r="E51" s="87">
        <v>80.8</v>
      </c>
      <c r="F51" s="87">
        <v>23.8</v>
      </c>
      <c r="G51" s="115">
        <v>21.84</v>
      </c>
      <c r="H51" s="87">
        <f>G51-F51</f>
        <v>-1.9600000000000009</v>
      </c>
      <c r="I51" s="276">
        <f>G51/F51</f>
        <v>0.9176470588235294</v>
      </c>
      <c r="J51" s="88">
        <f t="shared" si="1"/>
        <v>-58.959999999999994</v>
      </c>
      <c r="K51" s="91">
        <f>G51/E51</f>
        <v>0.2702970297029703</v>
      </c>
      <c r="L51" s="88"/>
      <c r="M51" s="88"/>
      <c r="N51" s="88"/>
      <c r="O51" s="88">
        <v>67.63</v>
      </c>
      <c r="P51" s="88">
        <f t="shared" si="3"/>
        <v>13.170000000000002</v>
      </c>
      <c r="Q51" s="91">
        <f t="shared" si="4"/>
        <v>1.1947360638769777</v>
      </c>
      <c r="R51" s="105">
        <v>16.11</v>
      </c>
      <c r="S51" s="105">
        <f t="shared" si="5"/>
        <v>5.73</v>
      </c>
      <c r="T51" s="178">
        <f t="shared" si="19"/>
        <v>1.3556797020484173</v>
      </c>
      <c r="U51" s="89">
        <f>F51-січень!F51</f>
        <v>2</v>
      </c>
      <c r="V51" s="119">
        <f>G51-січень!G51</f>
        <v>0</v>
      </c>
      <c r="W51" s="90">
        <f t="shared" si="10"/>
        <v>-2</v>
      </c>
      <c r="X51" s="91"/>
      <c r="Y51" s="264">
        <f t="shared" si="16"/>
        <v>0.16094363817143953</v>
      </c>
    </row>
    <row r="52" spans="1:25" s="6" customFormat="1" ht="15" customHeight="1" hidden="1">
      <c r="A52" s="8"/>
      <c r="B52" s="191"/>
      <c r="C52" s="38"/>
      <c r="D52" s="341"/>
      <c r="E52" s="31">
        <v>0</v>
      </c>
      <c r="F52" s="31">
        <f>E52</f>
        <v>0</v>
      </c>
      <c r="G52" s="223">
        <v>0</v>
      </c>
      <c r="H52" s="31">
        <f>G52-F52</f>
        <v>0</v>
      </c>
      <c r="I52" s="275"/>
      <c r="J52" s="97">
        <f t="shared" si="1"/>
        <v>0</v>
      </c>
      <c r="K52" s="83"/>
      <c r="L52" s="34"/>
      <c r="M52" s="34"/>
      <c r="N52" s="34"/>
      <c r="O52" s="34"/>
      <c r="P52" s="34"/>
      <c r="Q52" s="83"/>
      <c r="R52" s="97">
        <v>0</v>
      </c>
      <c r="S52" s="97">
        <f t="shared" si="5"/>
        <v>0</v>
      </c>
      <c r="T52" s="179"/>
      <c r="U52" s="112">
        <f>F52-січень!F52</f>
        <v>0</v>
      </c>
      <c r="V52" s="120">
        <f>G52-січень!G52</f>
        <v>0</v>
      </c>
      <c r="W52" s="132">
        <f t="shared" si="10"/>
        <v>0</v>
      </c>
      <c r="X52" s="83"/>
      <c r="Y52" s="264">
        <f t="shared" si="16"/>
        <v>0</v>
      </c>
    </row>
    <row r="53" spans="1:25" s="6" customFormat="1" ht="17.25">
      <c r="A53" s="7"/>
      <c r="B53" s="15" t="s">
        <v>12</v>
      </c>
      <c r="C53" s="65">
        <v>20000000</v>
      </c>
      <c r="D53" s="124">
        <f>D54+D55+D56+D57+D58+D60+D62+D63+D64+D65+D66+D71+D72+D76+D59+D61</f>
        <v>47248.9</v>
      </c>
      <c r="E53" s="124">
        <f>E54+E55+E56+E57+E58+E60+E62+E63+E64+E65+E66+E71+E72+E76+E59+E61</f>
        <v>47248.9</v>
      </c>
      <c r="F53" s="124">
        <f>F54+F55+F56+F57+F58+F60+F62+F63+F64+F65+F66+F71+F72+F76+F59+F61</f>
        <v>6835.548000000001</v>
      </c>
      <c r="G53" s="124">
        <f>G54+G55+G56+G57+G58+G60+G62+G63+G64+G65+G66+G71+G72+G76+G59+G61</f>
        <v>5476.66</v>
      </c>
      <c r="H53" s="124">
        <f>H54+H55+H56+H57+H58+H60+H62+H63+H64+H65+H66+H71+H72+H76+H59+H61</f>
        <v>-1358.8880000000001</v>
      </c>
      <c r="I53" s="168">
        <f aca="true" t="shared" si="20" ref="I53:I72">G53/F53</f>
        <v>0.8012027711604102</v>
      </c>
      <c r="J53" s="125">
        <f>G53-E53</f>
        <v>-41772.240000000005</v>
      </c>
      <c r="K53" s="181">
        <f aca="true" t="shared" si="21" ref="K53:K72">G53/E53</f>
        <v>0.11591084660171982</v>
      </c>
      <c r="L53" s="125"/>
      <c r="M53" s="125"/>
      <c r="N53" s="125"/>
      <c r="O53" s="125">
        <v>69380.98</v>
      </c>
      <c r="P53" s="125">
        <f>E53-O53</f>
        <v>-22132.079999999994</v>
      </c>
      <c r="Q53" s="181">
        <f>E53/O53</f>
        <v>0.681006523689922</v>
      </c>
      <c r="R53" s="221">
        <v>4227.73</v>
      </c>
      <c r="S53" s="124">
        <f t="shared" si="5"/>
        <v>1248.9300000000003</v>
      </c>
      <c r="T53" s="168">
        <f>G53/R53</f>
        <v>1.295413850931824</v>
      </c>
      <c r="U53" s="124">
        <f>U54+U55+U56+U57+U58+U60+U62+U63+U64+U65+U66+U71+U72+U76+U59+U61</f>
        <v>3587.788</v>
      </c>
      <c r="V53" s="124">
        <f>V54+V55+V56+V57+V58+V60+V62+V63+V64+V65+V66+V71+V72+V76+V59+V61</f>
        <v>2228.9</v>
      </c>
      <c r="W53" s="124">
        <f>W54+W55+W56+W57+W58+W60+W62+W63+W64+W65+W66+W71+W72+W76</f>
        <v>-1347.3580000000002</v>
      </c>
      <c r="X53" s="168">
        <f>V53/U53</f>
        <v>0.621246294374138</v>
      </c>
      <c r="Y53" s="264">
        <f t="shared" si="16"/>
        <v>0.6144073272419021</v>
      </c>
    </row>
    <row r="54" spans="1:25" s="6" customFormat="1" ht="46.5">
      <c r="A54" s="8"/>
      <c r="B54" s="185" t="s">
        <v>93</v>
      </c>
      <c r="C54" s="38">
        <v>21010301</v>
      </c>
      <c r="D54" s="345">
        <v>2650</v>
      </c>
      <c r="E54" s="123">
        <v>2650</v>
      </c>
      <c r="F54" s="123">
        <v>6.11</v>
      </c>
      <c r="G54" s="127">
        <v>1.11</v>
      </c>
      <c r="H54" s="123">
        <f aca="true" t="shared" si="22" ref="H54:H78">G54-F54</f>
        <v>-5</v>
      </c>
      <c r="I54" s="280">
        <f t="shared" si="20"/>
        <v>0.18166939443535188</v>
      </c>
      <c r="J54" s="136">
        <f>G54-E54</f>
        <v>-2648.89</v>
      </c>
      <c r="K54" s="180">
        <f t="shared" si="21"/>
        <v>0.0004188679245283019</v>
      </c>
      <c r="L54" s="136"/>
      <c r="M54" s="136"/>
      <c r="N54" s="136"/>
      <c r="O54" s="136">
        <v>2633.96</v>
      </c>
      <c r="P54" s="136">
        <f>E54-O54</f>
        <v>16.039999999999964</v>
      </c>
      <c r="Q54" s="180">
        <f>E54/O54</f>
        <v>1.0060896900484442</v>
      </c>
      <c r="R54" s="136">
        <v>9.18</v>
      </c>
      <c r="S54" s="136">
        <f t="shared" si="5"/>
        <v>-8.07</v>
      </c>
      <c r="T54" s="180">
        <f>G54/R54</f>
        <v>0.12091503267973858</v>
      </c>
      <c r="U54" s="128">
        <f>F54-січень!F54</f>
        <v>5</v>
      </c>
      <c r="V54" s="131">
        <f>G54-січень!G54</f>
        <v>0</v>
      </c>
      <c r="W54" s="132">
        <f aca="true" t="shared" si="23" ref="W54:W78">V54-U54</f>
        <v>-5</v>
      </c>
      <c r="X54" s="180">
        <f>V54/U54</f>
        <v>0</v>
      </c>
      <c r="Y54" s="264">
        <f t="shared" si="16"/>
        <v>-0.8851746573687056</v>
      </c>
    </row>
    <row r="55" spans="1:25" s="6" customFormat="1" ht="30.75">
      <c r="A55" s="8"/>
      <c r="B55" s="107" t="s">
        <v>72</v>
      </c>
      <c r="C55" s="37">
        <v>21050000</v>
      </c>
      <c r="D55" s="359">
        <v>5000</v>
      </c>
      <c r="E55" s="123">
        <v>5000</v>
      </c>
      <c r="F55" s="123">
        <v>280.078</v>
      </c>
      <c r="G55" s="127">
        <v>280.08</v>
      </c>
      <c r="H55" s="123">
        <f t="shared" si="22"/>
        <v>0.0020000000000095497</v>
      </c>
      <c r="I55" s="280">
        <f t="shared" si="20"/>
        <v>1.0000071408679012</v>
      </c>
      <c r="J55" s="136">
        <f aca="true" t="shared" si="24" ref="J55:J78">G55-E55</f>
        <v>-4719.92</v>
      </c>
      <c r="K55" s="180">
        <f t="shared" si="21"/>
        <v>0.056015999999999996</v>
      </c>
      <c r="L55" s="136"/>
      <c r="M55" s="136"/>
      <c r="N55" s="136"/>
      <c r="O55" s="136">
        <v>27997.6</v>
      </c>
      <c r="P55" s="136">
        <f aca="true" t="shared" si="25" ref="P55:P72">E55-O55</f>
        <v>-22997.6</v>
      </c>
      <c r="Q55" s="180">
        <f aca="true" t="shared" si="26" ref="Q55:Q72">E55/O55</f>
        <v>0.17858673600594338</v>
      </c>
      <c r="R55" s="136">
        <v>2116.32</v>
      </c>
      <c r="S55" s="136">
        <f t="shared" si="5"/>
        <v>-1836.2400000000002</v>
      </c>
      <c r="T55" s="180">
        <f aca="true" t="shared" si="27" ref="T55:T78">G55/R55</f>
        <v>0.13234293490587434</v>
      </c>
      <c r="U55" s="128">
        <f>F55-січень!F55</f>
        <v>280.078</v>
      </c>
      <c r="V55" s="131">
        <f>G55-січень!G55</f>
        <v>280.08</v>
      </c>
      <c r="W55" s="132">
        <f t="shared" si="23"/>
        <v>0.0020000000000095497</v>
      </c>
      <c r="X55" s="180">
        <f aca="true" t="shared" si="28" ref="X55:X77">V55/U55</f>
        <v>1.0000071408679012</v>
      </c>
      <c r="Y55" s="264">
        <f t="shared" si="16"/>
        <v>-0.04624380110006904</v>
      </c>
    </row>
    <row r="56" spans="1:25" s="6" customFormat="1" ht="18">
      <c r="A56" s="8"/>
      <c r="B56" s="107" t="s">
        <v>59</v>
      </c>
      <c r="C56" s="37">
        <v>21080500</v>
      </c>
      <c r="D56" s="359">
        <v>158</v>
      </c>
      <c r="E56" s="123">
        <v>158</v>
      </c>
      <c r="F56" s="123">
        <v>14</v>
      </c>
      <c r="G56" s="127">
        <v>1.44</v>
      </c>
      <c r="H56" s="123">
        <f t="shared" si="22"/>
        <v>-12.56</v>
      </c>
      <c r="I56" s="280">
        <f t="shared" si="20"/>
        <v>0.10285714285714286</v>
      </c>
      <c r="J56" s="136">
        <f t="shared" si="24"/>
        <v>-156.56</v>
      </c>
      <c r="K56" s="180">
        <f t="shared" si="21"/>
        <v>0.009113924050632912</v>
      </c>
      <c r="L56" s="136"/>
      <c r="M56" s="136"/>
      <c r="N56" s="136"/>
      <c r="O56" s="136">
        <v>153.3</v>
      </c>
      <c r="P56" s="136">
        <f t="shared" si="25"/>
        <v>4.699999999999989</v>
      </c>
      <c r="Q56" s="180">
        <f t="shared" si="26"/>
        <v>1.030658838878017</v>
      </c>
      <c r="R56" s="136">
        <v>57.08</v>
      </c>
      <c r="S56" s="136">
        <f t="shared" si="5"/>
        <v>-55.64</v>
      </c>
      <c r="T56" s="180">
        <f t="shared" si="27"/>
        <v>0.025227750525578137</v>
      </c>
      <c r="U56" s="128">
        <f>F56-січень!F56</f>
        <v>14</v>
      </c>
      <c r="V56" s="131">
        <f>G56-січень!G56</f>
        <v>1.44</v>
      </c>
      <c r="W56" s="132">
        <f t="shared" si="23"/>
        <v>-12.56</v>
      </c>
      <c r="X56" s="180">
        <f t="shared" si="28"/>
        <v>0.10285714285714286</v>
      </c>
      <c r="Y56" s="264">
        <f t="shared" si="16"/>
        <v>-1.0054310883524387</v>
      </c>
    </row>
    <row r="57" spans="1:25" s="6" customFormat="1" ht="31.5">
      <c r="A57" s="8"/>
      <c r="B57" s="195" t="s">
        <v>37</v>
      </c>
      <c r="C57" s="66">
        <v>21080900</v>
      </c>
      <c r="D57" s="360">
        <v>13</v>
      </c>
      <c r="E57" s="123">
        <v>13</v>
      </c>
      <c r="F57" s="123">
        <v>3</v>
      </c>
      <c r="G57" s="127">
        <v>2.02</v>
      </c>
      <c r="H57" s="123">
        <f t="shared" si="22"/>
        <v>-0.98</v>
      </c>
      <c r="I57" s="280">
        <f t="shared" si="20"/>
        <v>0.6733333333333333</v>
      </c>
      <c r="J57" s="136">
        <f t="shared" si="24"/>
        <v>-10.98</v>
      </c>
      <c r="K57" s="180">
        <f t="shared" si="21"/>
        <v>0.1553846153846154</v>
      </c>
      <c r="L57" s="136"/>
      <c r="M57" s="136"/>
      <c r="N57" s="136"/>
      <c r="O57" s="136">
        <v>12.95</v>
      </c>
      <c r="P57" s="136">
        <f t="shared" si="25"/>
        <v>0.05000000000000071</v>
      </c>
      <c r="Q57" s="292">
        <f t="shared" si="26"/>
        <v>1.0038610038610039</v>
      </c>
      <c r="R57" s="136">
        <v>2.03</v>
      </c>
      <c r="S57" s="136">
        <f t="shared" si="5"/>
        <v>-0.009999999999999787</v>
      </c>
      <c r="T57" s="180"/>
      <c r="U57" s="128">
        <f>F57-січень!F57</f>
        <v>1</v>
      </c>
      <c r="V57" s="131">
        <f>G57-січень!G57</f>
        <v>0</v>
      </c>
      <c r="W57" s="132">
        <f t="shared" si="23"/>
        <v>-1</v>
      </c>
      <c r="X57" s="180">
        <f t="shared" si="28"/>
        <v>0</v>
      </c>
      <c r="Y57" s="264">
        <f t="shared" si="16"/>
        <v>-1.0038610038610039</v>
      </c>
    </row>
    <row r="58" spans="1:25" s="6" customFormat="1" ht="18">
      <c r="A58" s="8"/>
      <c r="B58" s="108" t="s">
        <v>16</v>
      </c>
      <c r="C58" s="67">
        <v>21081100</v>
      </c>
      <c r="D58" s="361">
        <v>744</v>
      </c>
      <c r="E58" s="123">
        <v>744</v>
      </c>
      <c r="F58" s="123">
        <v>88.43</v>
      </c>
      <c r="G58" s="127">
        <v>33.84</v>
      </c>
      <c r="H58" s="123">
        <f t="shared" si="22"/>
        <v>-54.59</v>
      </c>
      <c r="I58" s="280">
        <f t="shared" si="20"/>
        <v>0.38267556259188057</v>
      </c>
      <c r="J58" s="136">
        <f t="shared" si="24"/>
        <v>-710.16</v>
      </c>
      <c r="K58" s="180">
        <f t="shared" si="21"/>
        <v>0.04548387096774194</v>
      </c>
      <c r="L58" s="136"/>
      <c r="M58" s="136"/>
      <c r="N58" s="136"/>
      <c r="O58" s="136">
        <v>705.31</v>
      </c>
      <c r="P58" s="136">
        <f t="shared" si="25"/>
        <v>38.690000000000055</v>
      </c>
      <c r="Q58" s="180">
        <f t="shared" si="26"/>
        <v>1.0548553118486907</v>
      </c>
      <c r="R58" s="136">
        <v>82.08</v>
      </c>
      <c r="S58" s="136">
        <f t="shared" si="5"/>
        <v>-48.239999999999995</v>
      </c>
      <c r="T58" s="180">
        <f t="shared" si="27"/>
        <v>0.412280701754386</v>
      </c>
      <c r="U58" s="128">
        <f>F58-січень!F58</f>
        <v>60.00000000000001</v>
      </c>
      <c r="V58" s="131">
        <f>G58-січень!G58</f>
        <v>5.410000000000004</v>
      </c>
      <c r="W58" s="132">
        <f t="shared" si="23"/>
        <v>-54.59</v>
      </c>
      <c r="X58" s="180">
        <f t="shared" si="28"/>
        <v>0.09016666666666671</v>
      </c>
      <c r="Y58" s="264">
        <f t="shared" si="16"/>
        <v>-0.6425746100943047</v>
      </c>
    </row>
    <row r="59" spans="1:25" s="6" customFormat="1" ht="46.5">
      <c r="A59" s="8"/>
      <c r="B59" s="250" t="s">
        <v>75</v>
      </c>
      <c r="C59" s="67">
        <v>21081500</v>
      </c>
      <c r="D59" s="361">
        <v>115.5</v>
      </c>
      <c r="E59" s="123">
        <v>115.5</v>
      </c>
      <c r="F59" s="123">
        <v>10</v>
      </c>
      <c r="G59" s="127">
        <v>-8.08</v>
      </c>
      <c r="H59" s="123">
        <f t="shared" si="22"/>
        <v>-18.08</v>
      </c>
      <c r="I59" s="280">
        <f t="shared" si="20"/>
        <v>-0.808</v>
      </c>
      <c r="J59" s="136">
        <f t="shared" si="24"/>
        <v>-123.58</v>
      </c>
      <c r="K59" s="180">
        <f t="shared" si="21"/>
        <v>-0.06995670995670995</v>
      </c>
      <c r="L59" s="136"/>
      <c r="M59" s="136"/>
      <c r="N59" s="136"/>
      <c r="O59" s="136">
        <v>114.3</v>
      </c>
      <c r="P59" s="136">
        <f t="shared" si="25"/>
        <v>1.2000000000000028</v>
      </c>
      <c r="Q59" s="180">
        <f t="shared" si="26"/>
        <v>1.010498687664042</v>
      </c>
      <c r="R59" s="136">
        <v>0</v>
      </c>
      <c r="S59" s="136">
        <f t="shared" si="5"/>
        <v>-8.08</v>
      </c>
      <c r="T59" s="180" t="e">
        <f t="shared" si="27"/>
        <v>#DIV/0!</v>
      </c>
      <c r="U59" s="128">
        <f>F59-січень!F59</f>
        <v>10</v>
      </c>
      <c r="V59" s="131">
        <f>G59-січень!G59</f>
        <v>-1.5300000000000002</v>
      </c>
      <c r="W59" s="132">
        <f t="shared" si="23"/>
        <v>-11.530000000000001</v>
      </c>
      <c r="X59" s="180">
        <f t="shared" si="28"/>
        <v>-0.15300000000000002</v>
      </c>
      <c r="Y59" s="264" t="e">
        <f t="shared" si="16"/>
        <v>#DIV/0!</v>
      </c>
    </row>
    <row r="60" spans="1:25" s="6" customFormat="1" ht="30.75">
      <c r="A60" s="8"/>
      <c r="B60" s="250" t="s">
        <v>97</v>
      </c>
      <c r="C60" s="44">
        <v>22010300</v>
      </c>
      <c r="D60" s="362">
        <v>1284</v>
      </c>
      <c r="E60" s="123">
        <v>1284</v>
      </c>
      <c r="F60" s="123">
        <v>184</v>
      </c>
      <c r="G60" s="127">
        <v>139.25</v>
      </c>
      <c r="H60" s="123">
        <f t="shared" si="22"/>
        <v>-44.75</v>
      </c>
      <c r="I60" s="280">
        <f t="shared" si="20"/>
        <v>0.7567934782608695</v>
      </c>
      <c r="J60" s="136">
        <f t="shared" si="24"/>
        <v>-1144.75</v>
      </c>
      <c r="K60" s="180">
        <f t="shared" si="21"/>
        <v>0.10845015576323988</v>
      </c>
      <c r="L60" s="136"/>
      <c r="M60" s="136"/>
      <c r="N60" s="136"/>
      <c r="O60" s="136">
        <v>1205.14</v>
      </c>
      <c r="P60" s="136">
        <f t="shared" si="25"/>
        <v>78.8599999999999</v>
      </c>
      <c r="Q60" s="180">
        <f t="shared" si="26"/>
        <v>1.0654363808354215</v>
      </c>
      <c r="R60" s="136">
        <v>192.39</v>
      </c>
      <c r="S60" s="136">
        <f t="shared" si="5"/>
        <v>-53.139999999999986</v>
      </c>
      <c r="T60" s="180">
        <f t="shared" si="27"/>
        <v>0.7237902177867873</v>
      </c>
      <c r="U60" s="128">
        <f>F60-січень!F60</f>
        <v>94.81</v>
      </c>
      <c r="V60" s="131">
        <f>G60-січень!G60</f>
        <v>50.06</v>
      </c>
      <c r="W60" s="132">
        <f t="shared" si="23"/>
        <v>-44.75</v>
      </c>
      <c r="X60" s="180">
        <f t="shared" si="28"/>
        <v>0.5280033751713954</v>
      </c>
      <c r="Y60" s="264">
        <f t="shared" si="16"/>
        <v>-0.34164616304863415</v>
      </c>
    </row>
    <row r="61" spans="1:25" s="6" customFormat="1" ht="18" hidden="1">
      <c r="A61" s="8"/>
      <c r="B61" s="108" t="s">
        <v>127</v>
      </c>
      <c r="C61" s="44">
        <v>22010200</v>
      </c>
      <c r="D61" s="348"/>
      <c r="E61" s="123">
        <v>0</v>
      </c>
      <c r="F61" s="123">
        <v>0</v>
      </c>
      <c r="G61" s="127">
        <v>0</v>
      </c>
      <c r="H61" s="123">
        <f t="shared" si="22"/>
        <v>0</v>
      </c>
      <c r="I61" s="280" t="e">
        <f t="shared" si="20"/>
        <v>#DIV/0!</v>
      </c>
      <c r="J61" s="136">
        <f t="shared" si="24"/>
        <v>0</v>
      </c>
      <c r="K61" s="180" t="e">
        <f t="shared" si="21"/>
        <v>#DIV/0!</v>
      </c>
      <c r="L61" s="136"/>
      <c r="M61" s="136"/>
      <c r="N61" s="136"/>
      <c r="O61" s="136">
        <v>23.38</v>
      </c>
      <c r="P61" s="136">
        <f t="shared" si="25"/>
        <v>-23.38</v>
      </c>
      <c r="Q61" s="180">
        <f t="shared" si="26"/>
        <v>0</v>
      </c>
      <c r="R61" s="136">
        <v>0</v>
      </c>
      <c r="S61" s="136">
        <f t="shared" si="5"/>
        <v>0</v>
      </c>
      <c r="T61" s="180"/>
      <c r="U61" s="128">
        <f>F61-січень!F61</f>
        <v>0</v>
      </c>
      <c r="V61" s="131">
        <f>G61-січень!G61</f>
        <v>0</v>
      </c>
      <c r="W61" s="132">
        <f t="shared" si="23"/>
        <v>0</v>
      </c>
      <c r="X61" s="180" t="e">
        <f t="shared" si="28"/>
        <v>#DIV/0!</v>
      </c>
      <c r="Y61" s="264">
        <f t="shared" si="16"/>
        <v>0</v>
      </c>
    </row>
    <row r="62" spans="1:25" s="6" customFormat="1" ht="18">
      <c r="A62" s="8"/>
      <c r="B62" s="256" t="s">
        <v>73</v>
      </c>
      <c r="C62" s="67">
        <v>22012500</v>
      </c>
      <c r="D62" s="361">
        <v>21260</v>
      </c>
      <c r="E62" s="123">
        <v>21260</v>
      </c>
      <c r="F62" s="123">
        <v>3690</v>
      </c>
      <c r="G62" s="127">
        <v>2948.06</v>
      </c>
      <c r="H62" s="123">
        <f t="shared" si="22"/>
        <v>-741.94</v>
      </c>
      <c r="I62" s="280">
        <f t="shared" si="20"/>
        <v>0.7989322493224932</v>
      </c>
      <c r="J62" s="136">
        <f t="shared" si="24"/>
        <v>-18311.94</v>
      </c>
      <c r="K62" s="180">
        <f t="shared" si="21"/>
        <v>0.1386669802445908</v>
      </c>
      <c r="L62" s="136"/>
      <c r="M62" s="136"/>
      <c r="N62" s="136"/>
      <c r="O62" s="136">
        <v>20110.14</v>
      </c>
      <c r="P62" s="136">
        <f t="shared" si="25"/>
        <v>1149.8600000000006</v>
      </c>
      <c r="Q62" s="180">
        <f t="shared" si="26"/>
        <v>1.0571781200926498</v>
      </c>
      <c r="R62" s="136">
        <v>2143.72</v>
      </c>
      <c r="S62" s="136">
        <f t="shared" si="5"/>
        <v>804.3400000000001</v>
      </c>
      <c r="T62" s="180">
        <f t="shared" si="27"/>
        <v>1.37520758307988</v>
      </c>
      <c r="U62" s="128">
        <f>F62-січень!F62</f>
        <v>1800</v>
      </c>
      <c r="V62" s="131">
        <f>G62-січень!G62</f>
        <v>1053.96</v>
      </c>
      <c r="W62" s="132">
        <f t="shared" si="23"/>
        <v>-746.04</v>
      </c>
      <c r="X62" s="180">
        <f t="shared" si="28"/>
        <v>0.5855333333333334</v>
      </c>
      <c r="Y62" s="264">
        <f t="shared" si="16"/>
        <v>0.3180294629872302</v>
      </c>
    </row>
    <row r="63" spans="1:25" s="6" customFormat="1" ht="31.5">
      <c r="A63" s="8"/>
      <c r="B63" s="256" t="s">
        <v>94</v>
      </c>
      <c r="C63" s="67">
        <v>22012600</v>
      </c>
      <c r="D63" s="361">
        <v>767</v>
      </c>
      <c r="E63" s="123">
        <v>767</v>
      </c>
      <c r="F63" s="123">
        <v>121</v>
      </c>
      <c r="G63" s="127">
        <v>85.31</v>
      </c>
      <c r="H63" s="123">
        <f t="shared" si="22"/>
        <v>-35.69</v>
      </c>
      <c r="I63" s="280">
        <f t="shared" si="20"/>
        <v>0.7050413223140496</v>
      </c>
      <c r="J63" s="136">
        <f t="shared" si="24"/>
        <v>-681.69</v>
      </c>
      <c r="K63" s="180">
        <f t="shared" si="21"/>
        <v>0.11122555410691004</v>
      </c>
      <c r="L63" s="136"/>
      <c r="M63" s="136"/>
      <c r="N63" s="136"/>
      <c r="O63" s="136">
        <v>710.04</v>
      </c>
      <c r="P63" s="136">
        <f t="shared" si="25"/>
        <v>56.960000000000036</v>
      </c>
      <c r="Q63" s="180">
        <f t="shared" si="26"/>
        <v>1.0802208326291478</v>
      </c>
      <c r="R63" s="136">
        <v>90.44</v>
      </c>
      <c r="S63" s="136">
        <f t="shared" si="5"/>
        <v>-5.1299999999999955</v>
      </c>
      <c r="T63" s="180">
        <f t="shared" si="27"/>
        <v>0.9432773109243698</v>
      </c>
      <c r="U63" s="128">
        <f>F63-січень!F63</f>
        <v>64</v>
      </c>
      <c r="V63" s="131">
        <f>G63-січень!G63</f>
        <v>25.940000000000005</v>
      </c>
      <c r="W63" s="132">
        <f t="shared" si="23"/>
        <v>-38.059999999999995</v>
      </c>
      <c r="X63" s="180">
        <f t="shared" si="28"/>
        <v>0.4053125000000001</v>
      </c>
      <c r="Y63" s="264">
        <f t="shared" si="16"/>
        <v>-0.13694352170477797</v>
      </c>
    </row>
    <row r="64" spans="1:25" s="6" customFormat="1" ht="31.5">
      <c r="A64" s="8"/>
      <c r="B64" s="30" t="s">
        <v>98</v>
      </c>
      <c r="C64" s="67">
        <v>22012900</v>
      </c>
      <c r="D64" s="361">
        <v>44</v>
      </c>
      <c r="E64" s="123">
        <v>44</v>
      </c>
      <c r="F64" s="123">
        <v>4</v>
      </c>
      <c r="G64" s="127">
        <v>1.06</v>
      </c>
      <c r="H64" s="123">
        <f t="shared" si="22"/>
        <v>-2.94</v>
      </c>
      <c r="I64" s="280">
        <f t="shared" si="20"/>
        <v>0.265</v>
      </c>
      <c r="J64" s="136">
        <f t="shared" si="24"/>
        <v>-42.94</v>
      </c>
      <c r="K64" s="180">
        <f t="shared" si="21"/>
        <v>0.024090909090909093</v>
      </c>
      <c r="L64" s="136"/>
      <c r="M64" s="136"/>
      <c r="N64" s="136"/>
      <c r="O64" s="136">
        <v>41.44</v>
      </c>
      <c r="P64" s="136">
        <f t="shared" si="25"/>
        <v>2.5600000000000023</v>
      </c>
      <c r="Q64" s="180">
        <f t="shared" si="26"/>
        <v>1.0617760617760619</v>
      </c>
      <c r="R64" s="136">
        <v>0</v>
      </c>
      <c r="S64" s="136">
        <f t="shared" si="5"/>
        <v>1.06</v>
      </c>
      <c r="T64" s="180" t="e">
        <f t="shared" si="27"/>
        <v>#DIV/0!</v>
      </c>
      <c r="U64" s="128">
        <f>F64-січень!F64</f>
        <v>3</v>
      </c>
      <c r="V64" s="131">
        <f>G64-січень!G64</f>
        <v>0</v>
      </c>
      <c r="W64" s="132">
        <f t="shared" si="23"/>
        <v>-3</v>
      </c>
      <c r="X64" s="180">
        <f t="shared" si="28"/>
        <v>0</v>
      </c>
      <c r="Y64" s="264" t="e">
        <f t="shared" si="16"/>
        <v>#DIV/0!</v>
      </c>
    </row>
    <row r="65" spans="1:25" s="6" customFormat="1" ht="30.75">
      <c r="A65" s="8"/>
      <c r="B65" s="108" t="s">
        <v>14</v>
      </c>
      <c r="C65" s="44">
        <v>22080400</v>
      </c>
      <c r="D65" s="362">
        <v>6000</v>
      </c>
      <c r="E65" s="123">
        <v>6000</v>
      </c>
      <c r="F65" s="123">
        <v>1064.14</v>
      </c>
      <c r="G65" s="127">
        <v>1114.23</v>
      </c>
      <c r="H65" s="123">
        <f t="shared" si="22"/>
        <v>50.08999999999992</v>
      </c>
      <c r="I65" s="280">
        <f t="shared" si="20"/>
        <v>1.0470708741331027</v>
      </c>
      <c r="J65" s="136">
        <f t="shared" si="24"/>
        <v>-4885.77</v>
      </c>
      <c r="K65" s="180">
        <f t="shared" si="21"/>
        <v>0.185705</v>
      </c>
      <c r="L65" s="136"/>
      <c r="M65" s="136"/>
      <c r="N65" s="136"/>
      <c r="O65" s="136">
        <v>6545.96</v>
      </c>
      <c r="P65" s="136">
        <f t="shared" si="25"/>
        <v>-545.96</v>
      </c>
      <c r="Q65" s="180">
        <f t="shared" si="26"/>
        <v>0.9165958850955398</v>
      </c>
      <c r="R65" s="136">
        <v>1163.35</v>
      </c>
      <c r="S65" s="136">
        <f t="shared" si="5"/>
        <v>-49.11999999999989</v>
      </c>
      <c r="T65" s="180">
        <f t="shared" si="27"/>
        <v>0.9577771092104699</v>
      </c>
      <c r="U65" s="128">
        <f>F65-січень!F65</f>
        <v>500.0000000000001</v>
      </c>
      <c r="V65" s="131">
        <f>G65-січень!G65</f>
        <v>550.09</v>
      </c>
      <c r="W65" s="132">
        <f t="shared" si="23"/>
        <v>50.08999999999992</v>
      </c>
      <c r="X65" s="180">
        <f t="shared" si="28"/>
        <v>1.1001799999999997</v>
      </c>
      <c r="Y65" s="264">
        <f t="shared" si="16"/>
        <v>0.04118122411493008</v>
      </c>
    </row>
    <row r="66" spans="1:25" s="6" customFormat="1" ht="19.5" customHeight="1">
      <c r="A66" s="8"/>
      <c r="B66" s="108" t="s">
        <v>15</v>
      </c>
      <c r="C66" s="38">
        <v>22090000</v>
      </c>
      <c r="D66" s="345">
        <f>D67+D68+D70</f>
        <v>866</v>
      </c>
      <c r="E66" s="123">
        <f>E67+E68+E70</f>
        <v>866</v>
      </c>
      <c r="F66" s="123">
        <v>120.64</v>
      </c>
      <c r="G66" s="127">
        <v>77.14</v>
      </c>
      <c r="H66" s="123">
        <f t="shared" si="22"/>
        <v>-43.5</v>
      </c>
      <c r="I66" s="280">
        <f t="shared" si="20"/>
        <v>0.6394230769230769</v>
      </c>
      <c r="J66" s="136">
        <f t="shared" si="24"/>
        <v>-788.86</v>
      </c>
      <c r="K66" s="180">
        <f t="shared" si="21"/>
        <v>0.08907621247113164</v>
      </c>
      <c r="L66" s="136"/>
      <c r="M66" s="136"/>
      <c r="N66" s="136"/>
      <c r="O66" s="136">
        <v>896.22</v>
      </c>
      <c r="P66" s="136">
        <f t="shared" si="25"/>
        <v>-30.220000000000027</v>
      </c>
      <c r="Q66" s="180">
        <f t="shared" si="26"/>
        <v>0.9662806007453527</v>
      </c>
      <c r="R66" s="136">
        <v>89.05</v>
      </c>
      <c r="S66" s="136">
        <f t="shared" si="5"/>
        <v>-11.909999999999997</v>
      </c>
      <c r="T66" s="180">
        <f t="shared" si="27"/>
        <v>0.8662549129702415</v>
      </c>
      <c r="U66" s="128">
        <f>F66-січень!F66</f>
        <v>74.4</v>
      </c>
      <c r="V66" s="131">
        <f>G66-січень!G66</f>
        <v>30.9</v>
      </c>
      <c r="W66" s="132">
        <f t="shared" si="23"/>
        <v>-43.50000000000001</v>
      </c>
      <c r="X66" s="180">
        <f t="shared" si="28"/>
        <v>0.41532258064516125</v>
      </c>
      <c r="Y66" s="264">
        <f t="shared" si="16"/>
        <v>-0.10002568777511123</v>
      </c>
    </row>
    <row r="67" spans="1:25" s="6" customFormat="1" ht="15" hidden="1">
      <c r="A67" s="8"/>
      <c r="B67" s="262" t="s">
        <v>92</v>
      </c>
      <c r="C67" s="162">
        <v>22090100</v>
      </c>
      <c r="D67" s="346">
        <v>728.2</v>
      </c>
      <c r="E67" s="87">
        <v>728.2</v>
      </c>
      <c r="F67" s="87">
        <v>97.42</v>
      </c>
      <c r="G67" s="115">
        <v>60.41</v>
      </c>
      <c r="H67" s="87">
        <f t="shared" si="22"/>
        <v>-37.010000000000005</v>
      </c>
      <c r="I67" s="276">
        <f t="shared" si="20"/>
        <v>0.620098542393759</v>
      </c>
      <c r="J67" s="88">
        <f t="shared" si="24"/>
        <v>-667.7900000000001</v>
      </c>
      <c r="K67" s="91">
        <f t="shared" si="21"/>
        <v>0.08295797857731392</v>
      </c>
      <c r="L67" s="88"/>
      <c r="M67" s="88"/>
      <c r="N67" s="88"/>
      <c r="O67" s="88">
        <v>760.62</v>
      </c>
      <c r="P67" s="88">
        <f t="shared" si="25"/>
        <v>-32.41999999999996</v>
      </c>
      <c r="Q67" s="91">
        <f t="shared" si="26"/>
        <v>0.957376876758434</v>
      </c>
      <c r="R67" s="88">
        <v>73.71</v>
      </c>
      <c r="S67" s="270">
        <f t="shared" si="5"/>
        <v>-13.299999999999997</v>
      </c>
      <c r="T67" s="271">
        <f t="shared" si="27"/>
        <v>0.8195631528964863</v>
      </c>
      <c r="U67" s="89">
        <f>F67-січень!F67</f>
        <v>63</v>
      </c>
      <c r="V67" s="119">
        <f>G67-січень!G67</f>
        <v>25.989999999999995</v>
      </c>
      <c r="W67" s="90">
        <f t="shared" si="23"/>
        <v>-37.010000000000005</v>
      </c>
      <c r="X67" s="91">
        <f t="shared" si="28"/>
        <v>0.4125396825396825</v>
      </c>
      <c r="Y67" s="264">
        <f t="shared" si="16"/>
        <v>-0.13781372386194768</v>
      </c>
    </row>
    <row r="68" spans="1:25" s="6" customFormat="1" ht="15" hidden="1">
      <c r="A68" s="8"/>
      <c r="B68" s="262" t="s">
        <v>89</v>
      </c>
      <c r="C68" s="162">
        <v>22090200</v>
      </c>
      <c r="D68" s="346">
        <v>1</v>
      </c>
      <c r="E68" s="87">
        <v>1</v>
      </c>
      <c r="F68" s="87">
        <v>0</v>
      </c>
      <c r="G68" s="115">
        <v>0.04</v>
      </c>
      <c r="H68" s="87">
        <f t="shared" si="22"/>
        <v>0.04</v>
      </c>
      <c r="I68" s="276" t="e">
        <f t="shared" si="20"/>
        <v>#DIV/0!</v>
      </c>
      <c r="J68" s="88">
        <f t="shared" si="24"/>
        <v>-0.96</v>
      </c>
      <c r="K68" s="91">
        <f t="shared" si="21"/>
        <v>0.04</v>
      </c>
      <c r="L68" s="88"/>
      <c r="M68" s="88"/>
      <c r="N68" s="88"/>
      <c r="O68" s="88">
        <v>0.18</v>
      </c>
      <c r="P68" s="88">
        <f t="shared" si="25"/>
        <v>0.8200000000000001</v>
      </c>
      <c r="Q68" s="91">
        <f t="shared" si="26"/>
        <v>5.555555555555555</v>
      </c>
      <c r="R68" s="88">
        <v>0.1</v>
      </c>
      <c r="S68" s="270">
        <f t="shared" si="5"/>
        <v>-0.060000000000000005</v>
      </c>
      <c r="T68" s="271">
        <f t="shared" si="27"/>
        <v>0.39999999999999997</v>
      </c>
      <c r="U68" s="89">
        <f>F68-січень!F68</f>
        <v>0</v>
      </c>
      <c r="V68" s="119">
        <f>G68-січень!G68</f>
        <v>0.04</v>
      </c>
      <c r="W68" s="90">
        <f t="shared" si="23"/>
        <v>0.04</v>
      </c>
      <c r="X68" s="91"/>
      <c r="Y68" s="264">
        <f t="shared" si="16"/>
        <v>-5.155555555555555</v>
      </c>
    </row>
    <row r="69" spans="1:25" s="6" customFormat="1" ht="15" hidden="1">
      <c r="A69" s="8"/>
      <c r="B69" s="262" t="s">
        <v>90</v>
      </c>
      <c r="C69" s="101">
        <v>22090300</v>
      </c>
      <c r="D69" s="344"/>
      <c r="E69" s="87">
        <v>0</v>
      </c>
      <c r="F69" s="87">
        <v>0</v>
      </c>
      <c r="G69" s="115">
        <v>0</v>
      </c>
      <c r="H69" s="87">
        <f t="shared" si="22"/>
        <v>0</v>
      </c>
      <c r="I69" s="276" t="e">
        <f t="shared" si="20"/>
        <v>#DIV/0!</v>
      </c>
      <c r="J69" s="88">
        <f t="shared" si="24"/>
        <v>0</v>
      </c>
      <c r="K69" s="91" t="e">
        <f t="shared" si="21"/>
        <v>#DIV/0!</v>
      </c>
      <c r="L69" s="88"/>
      <c r="M69" s="88"/>
      <c r="N69" s="88"/>
      <c r="O69" s="88">
        <v>0</v>
      </c>
      <c r="P69" s="88">
        <f t="shared" si="25"/>
        <v>0</v>
      </c>
      <c r="Q69" s="91" t="e">
        <f t="shared" si="26"/>
        <v>#DIV/0!</v>
      </c>
      <c r="R69" s="88">
        <f>O69</f>
        <v>0</v>
      </c>
      <c r="S69" s="270">
        <f t="shared" si="5"/>
        <v>0</v>
      </c>
      <c r="T69" s="271" t="e">
        <f t="shared" si="27"/>
        <v>#DIV/0!</v>
      </c>
      <c r="U69" s="89">
        <f>F69-січень!F69</f>
        <v>0</v>
      </c>
      <c r="V69" s="119">
        <f>G69-січень!G69</f>
        <v>0</v>
      </c>
      <c r="W69" s="90">
        <f t="shared" si="23"/>
        <v>0</v>
      </c>
      <c r="X69" s="91"/>
      <c r="Y69" s="264" t="e">
        <f t="shared" si="16"/>
        <v>#DIV/0!</v>
      </c>
    </row>
    <row r="70" spans="1:25" s="6" customFormat="1" ht="15" hidden="1">
      <c r="A70" s="8"/>
      <c r="B70" s="262" t="s">
        <v>91</v>
      </c>
      <c r="C70" s="162">
        <v>22090400</v>
      </c>
      <c r="D70" s="346">
        <v>136.8</v>
      </c>
      <c r="E70" s="87">
        <v>136.8</v>
      </c>
      <c r="F70" s="87">
        <v>23.22</v>
      </c>
      <c r="G70" s="115">
        <v>16.69</v>
      </c>
      <c r="H70" s="87">
        <f t="shared" si="22"/>
        <v>-6.529999999999998</v>
      </c>
      <c r="I70" s="276">
        <f t="shared" si="20"/>
        <v>0.7187769164513351</v>
      </c>
      <c r="J70" s="88">
        <f t="shared" si="24"/>
        <v>-120.11000000000001</v>
      </c>
      <c r="K70" s="91">
        <f t="shared" si="21"/>
        <v>0.12200292397660818</v>
      </c>
      <c r="L70" s="88"/>
      <c r="M70" s="88"/>
      <c r="N70" s="88"/>
      <c r="O70" s="88">
        <v>135.42</v>
      </c>
      <c r="P70" s="88">
        <f t="shared" si="25"/>
        <v>1.3800000000000239</v>
      </c>
      <c r="Q70" s="91">
        <f t="shared" si="26"/>
        <v>1.01019051838724</v>
      </c>
      <c r="R70" s="88">
        <v>15.24</v>
      </c>
      <c r="S70" s="270">
        <f t="shared" si="5"/>
        <v>1.450000000000001</v>
      </c>
      <c r="T70" s="271">
        <f t="shared" si="27"/>
        <v>1.0951443569553807</v>
      </c>
      <c r="U70" s="89">
        <f>F70-січень!F70</f>
        <v>11.399999999999999</v>
      </c>
      <c r="V70" s="119">
        <f>G70-січень!G70</f>
        <v>4.870000000000001</v>
      </c>
      <c r="W70" s="90">
        <f t="shared" si="23"/>
        <v>-6.529999999999998</v>
      </c>
      <c r="X70" s="91">
        <f t="shared" si="28"/>
        <v>0.4271929824561405</v>
      </c>
      <c r="Y70" s="264">
        <f t="shared" si="16"/>
        <v>0.08495383856814076</v>
      </c>
    </row>
    <row r="71" spans="1:25" s="6" customFormat="1" ht="46.5">
      <c r="A71" s="8"/>
      <c r="B71" s="108" t="s">
        <v>17</v>
      </c>
      <c r="C71" s="11" t="s">
        <v>18</v>
      </c>
      <c r="D71" s="367">
        <v>3</v>
      </c>
      <c r="E71" s="123">
        <v>3</v>
      </c>
      <c r="F71" s="123">
        <v>1.5</v>
      </c>
      <c r="G71" s="127">
        <v>0</v>
      </c>
      <c r="H71" s="123">
        <f t="shared" si="22"/>
        <v>-1.5</v>
      </c>
      <c r="I71" s="280">
        <f t="shared" si="20"/>
        <v>0</v>
      </c>
      <c r="J71" s="136">
        <f t="shared" si="24"/>
        <v>-3</v>
      </c>
      <c r="K71" s="180">
        <f t="shared" si="21"/>
        <v>0</v>
      </c>
      <c r="L71" s="136"/>
      <c r="M71" s="136"/>
      <c r="N71" s="136"/>
      <c r="O71" s="136">
        <v>2.04</v>
      </c>
      <c r="P71" s="136">
        <f t="shared" si="25"/>
        <v>0.96</v>
      </c>
      <c r="Q71" s="180">
        <f t="shared" si="26"/>
        <v>1.4705882352941175</v>
      </c>
      <c r="R71" s="136">
        <v>1.67</v>
      </c>
      <c r="S71" s="136">
        <f t="shared" si="5"/>
        <v>-1.67</v>
      </c>
      <c r="T71" s="180">
        <f t="shared" si="27"/>
        <v>0</v>
      </c>
      <c r="U71" s="128">
        <f>F71-січень!F71</f>
        <v>1.5</v>
      </c>
      <c r="V71" s="131">
        <f>G71-січень!G71</f>
        <v>0</v>
      </c>
      <c r="W71" s="132">
        <f t="shared" si="23"/>
        <v>-1.5</v>
      </c>
      <c r="X71" s="180"/>
      <c r="Y71" s="264">
        <f t="shared" si="16"/>
        <v>-1.4705882352941175</v>
      </c>
    </row>
    <row r="72" spans="1:25" s="6" customFormat="1" ht="15.75" customHeight="1">
      <c r="A72" s="8"/>
      <c r="B72" s="109" t="s">
        <v>13</v>
      </c>
      <c r="C72" s="11" t="s">
        <v>19</v>
      </c>
      <c r="D72" s="367">
        <v>8170</v>
      </c>
      <c r="E72" s="123">
        <v>8170</v>
      </c>
      <c r="F72" s="123">
        <v>1248.65</v>
      </c>
      <c r="G72" s="127">
        <v>801.2</v>
      </c>
      <c r="H72" s="123">
        <f t="shared" si="22"/>
        <v>-447.45000000000005</v>
      </c>
      <c r="I72" s="280">
        <f t="shared" si="20"/>
        <v>0.6416529852240419</v>
      </c>
      <c r="J72" s="136">
        <f t="shared" si="24"/>
        <v>-7368.8</v>
      </c>
      <c r="K72" s="180">
        <f t="shared" si="21"/>
        <v>0.09806609547123624</v>
      </c>
      <c r="L72" s="136"/>
      <c r="M72" s="136"/>
      <c r="N72" s="136"/>
      <c r="O72" s="136">
        <v>8086.92</v>
      </c>
      <c r="P72" s="136">
        <f t="shared" si="25"/>
        <v>83.07999999999993</v>
      </c>
      <c r="Q72" s="180">
        <f t="shared" si="26"/>
        <v>1.0102733797292418</v>
      </c>
      <c r="R72" s="136">
        <v>2711.43</v>
      </c>
      <c r="S72" s="136">
        <f t="shared" si="5"/>
        <v>-1910.2299999999998</v>
      </c>
      <c r="T72" s="180">
        <f t="shared" si="27"/>
        <v>0.2954898337777483</v>
      </c>
      <c r="U72" s="128">
        <f>F72-січень!F72</f>
        <v>680.0000000000001</v>
      </c>
      <c r="V72" s="131">
        <f>G72-січень!G72</f>
        <v>232.55000000000007</v>
      </c>
      <c r="W72" s="132">
        <f t="shared" si="23"/>
        <v>-447.45000000000005</v>
      </c>
      <c r="X72" s="180">
        <f t="shared" si="28"/>
        <v>0.3419852941176471</v>
      </c>
      <c r="Y72" s="264">
        <f t="shared" si="16"/>
        <v>-0.7147835459514935</v>
      </c>
    </row>
    <row r="73" spans="1:25" s="6" customFormat="1" ht="18" hidden="1">
      <c r="A73" s="8"/>
      <c r="B73" s="12" t="s">
        <v>22</v>
      </c>
      <c r="C73" s="56" t="s">
        <v>23</v>
      </c>
      <c r="D73" s="349"/>
      <c r="E73" s="28">
        <v>0</v>
      </c>
      <c r="F73" s="28">
        <v>0</v>
      </c>
      <c r="G73" s="114">
        <v>0</v>
      </c>
      <c r="H73" s="123">
        <f t="shared" si="22"/>
        <v>0</v>
      </c>
      <c r="I73" s="280" t="e">
        <f>G73/F73*100</f>
        <v>#DIV/0!</v>
      </c>
      <c r="J73" s="136">
        <f t="shared" si="24"/>
        <v>0</v>
      </c>
      <c r="K73" s="180" t="e">
        <f>G73/E73*100</f>
        <v>#DIV/0!</v>
      </c>
      <c r="L73" s="136"/>
      <c r="M73" s="136"/>
      <c r="N73" s="136"/>
      <c r="O73" s="136"/>
      <c r="P73" s="136"/>
      <c r="Q73" s="180"/>
      <c r="R73" s="136">
        <v>0</v>
      </c>
      <c r="S73" s="136">
        <f t="shared" si="5"/>
        <v>0</v>
      </c>
      <c r="T73" s="180" t="e">
        <f t="shared" si="27"/>
        <v>#DIV/0!</v>
      </c>
      <c r="U73" s="128">
        <f>F73-січень!F73</f>
        <v>0</v>
      </c>
      <c r="V73" s="131">
        <f>G73-січень!G73</f>
        <v>0</v>
      </c>
      <c r="W73" s="132">
        <f t="shared" si="23"/>
        <v>0</v>
      </c>
      <c r="X73" s="180" t="e">
        <f t="shared" si="28"/>
        <v>#DIV/0!</v>
      </c>
      <c r="Y73" s="264" t="e">
        <f t="shared" si="16"/>
        <v>#DIV/0!</v>
      </c>
    </row>
    <row r="74" spans="1:25" s="6" customFormat="1" ht="30.75" hidden="1">
      <c r="A74" s="8"/>
      <c r="B74" s="45" t="s">
        <v>40</v>
      </c>
      <c r="C74" s="56"/>
      <c r="D74" s="349"/>
      <c r="E74" s="87"/>
      <c r="F74" s="87"/>
      <c r="G74" s="165">
        <v>0</v>
      </c>
      <c r="H74" s="204"/>
      <c r="I74" s="280"/>
      <c r="J74" s="205"/>
      <c r="K74" s="230"/>
      <c r="L74" s="205"/>
      <c r="M74" s="205"/>
      <c r="N74" s="205"/>
      <c r="O74" s="205">
        <v>1411.18</v>
      </c>
      <c r="P74" s="136"/>
      <c r="Q74" s="180"/>
      <c r="R74" s="137">
        <f>O74</f>
        <v>1411.18</v>
      </c>
      <c r="S74" s="205"/>
      <c r="T74" s="230">
        <f t="shared" si="27"/>
        <v>0</v>
      </c>
      <c r="U74" s="128">
        <f>F74-січень!F74</f>
        <v>0</v>
      </c>
      <c r="V74" s="131">
        <f>G74-січень!G74</f>
        <v>0</v>
      </c>
      <c r="W74" s="137">
        <f t="shared" si="23"/>
        <v>0</v>
      </c>
      <c r="X74" s="180"/>
      <c r="Y74" s="264"/>
    </row>
    <row r="75" spans="1:25" s="6" customFormat="1" ht="18" hidden="1">
      <c r="A75" s="8"/>
      <c r="B75" s="109" t="s">
        <v>20</v>
      </c>
      <c r="C75" s="106" t="s">
        <v>21</v>
      </c>
      <c r="D75" s="350"/>
      <c r="E75" s="31">
        <v>0</v>
      </c>
      <c r="F75" s="31">
        <v>0</v>
      </c>
      <c r="G75" s="116">
        <v>0</v>
      </c>
      <c r="H75" s="123">
        <f t="shared" si="22"/>
        <v>0</v>
      </c>
      <c r="I75" s="280" t="e">
        <f>G75/F75*100</f>
        <v>#DIV/0!</v>
      </c>
      <c r="J75" s="136">
        <f t="shared" si="24"/>
        <v>0</v>
      </c>
      <c r="K75" s="180" t="e">
        <f>G75/E75*100</f>
        <v>#DIV/0!</v>
      </c>
      <c r="L75" s="136"/>
      <c r="M75" s="136"/>
      <c r="N75" s="136"/>
      <c r="O75" s="136"/>
      <c r="P75" s="136"/>
      <c r="Q75" s="180"/>
      <c r="R75" s="137">
        <v>0</v>
      </c>
      <c r="S75" s="136">
        <f t="shared" si="5"/>
        <v>0</v>
      </c>
      <c r="T75" s="180" t="e">
        <f t="shared" si="27"/>
        <v>#DIV/0!</v>
      </c>
      <c r="U75" s="128">
        <f>F75-січень!F75</f>
        <v>0</v>
      </c>
      <c r="V75" s="131">
        <f>G75-січень!G75</f>
        <v>0</v>
      </c>
      <c r="W75" s="132">
        <f t="shared" si="23"/>
        <v>0</v>
      </c>
      <c r="X75" s="180" t="e">
        <f t="shared" si="28"/>
        <v>#DIV/0!</v>
      </c>
      <c r="Y75" s="264" t="e">
        <f t="shared" si="16"/>
        <v>#DIV/0!</v>
      </c>
    </row>
    <row r="76" spans="1:25" s="6" customFormat="1" ht="44.25" customHeight="1">
      <c r="A76" s="8"/>
      <c r="B76" s="109" t="s">
        <v>41</v>
      </c>
      <c r="C76" s="38">
        <v>24061900</v>
      </c>
      <c r="D76" s="345">
        <v>174.4</v>
      </c>
      <c r="E76" s="123">
        <v>174.4</v>
      </c>
      <c r="F76" s="123">
        <v>0</v>
      </c>
      <c r="G76" s="127">
        <v>0</v>
      </c>
      <c r="H76" s="123">
        <f t="shared" si="22"/>
        <v>0</v>
      </c>
      <c r="I76" s="280" t="e">
        <f>G76/F76</f>
        <v>#DIV/0!</v>
      </c>
      <c r="J76" s="136">
        <f t="shared" si="24"/>
        <v>-174.4</v>
      </c>
      <c r="K76" s="180">
        <f>G76/E76</f>
        <v>0</v>
      </c>
      <c r="L76" s="136"/>
      <c r="M76" s="136"/>
      <c r="N76" s="136"/>
      <c r="O76" s="136">
        <v>142.18</v>
      </c>
      <c r="P76" s="136">
        <f>E76-O76</f>
        <v>32.22</v>
      </c>
      <c r="Q76" s="180">
        <f>E76/O76</f>
        <v>1.2266141510761006</v>
      </c>
      <c r="R76" s="136">
        <v>32.89</v>
      </c>
      <c r="S76" s="136">
        <f t="shared" si="5"/>
        <v>-32.89</v>
      </c>
      <c r="T76" s="180">
        <f t="shared" si="27"/>
        <v>0</v>
      </c>
      <c r="U76" s="128">
        <f>F76-січень!F76</f>
        <v>0</v>
      </c>
      <c r="V76" s="131">
        <f>G76-січень!G76</f>
        <v>0</v>
      </c>
      <c r="W76" s="132">
        <f t="shared" si="23"/>
        <v>0</v>
      </c>
      <c r="X76" s="180" t="e">
        <f t="shared" si="28"/>
        <v>#DIV/0!</v>
      </c>
      <c r="Y76" s="264">
        <f t="shared" si="16"/>
        <v>-1.2266141510761006</v>
      </c>
    </row>
    <row r="77" spans="1:25" s="6" customFormat="1" ht="27.75" customHeight="1">
      <c r="A77" s="8"/>
      <c r="B77" s="109" t="s">
        <v>42</v>
      </c>
      <c r="C77" s="38">
        <v>31010200</v>
      </c>
      <c r="D77" s="345">
        <v>35</v>
      </c>
      <c r="E77" s="123">
        <v>35</v>
      </c>
      <c r="F77" s="123">
        <v>6.67</v>
      </c>
      <c r="G77" s="127">
        <v>4.74</v>
      </c>
      <c r="H77" s="123">
        <f t="shared" si="22"/>
        <v>-1.9299999999999997</v>
      </c>
      <c r="I77" s="280">
        <f>G77/F77</f>
        <v>0.7106446776611695</v>
      </c>
      <c r="J77" s="136">
        <f t="shared" si="24"/>
        <v>-30.259999999999998</v>
      </c>
      <c r="K77" s="180">
        <f>G77/E77</f>
        <v>0.13542857142857143</v>
      </c>
      <c r="L77" s="136"/>
      <c r="M77" s="136"/>
      <c r="N77" s="136"/>
      <c r="O77" s="136">
        <v>34.22</v>
      </c>
      <c r="P77" s="136">
        <f>E77-O77</f>
        <v>0.7800000000000011</v>
      </c>
      <c r="Q77" s="180">
        <f>E77/O77</f>
        <v>1.0227936879018118</v>
      </c>
      <c r="R77" s="136">
        <v>8.6</v>
      </c>
      <c r="S77" s="136">
        <f t="shared" si="5"/>
        <v>-3.8599999999999994</v>
      </c>
      <c r="T77" s="180">
        <f t="shared" si="27"/>
        <v>0.5511627906976745</v>
      </c>
      <c r="U77" s="128">
        <f>F77-січень!F77</f>
        <v>2.9</v>
      </c>
      <c r="V77" s="131">
        <f>G77-січень!G77</f>
        <v>0.9700000000000002</v>
      </c>
      <c r="W77" s="132">
        <f t="shared" si="23"/>
        <v>-1.9299999999999997</v>
      </c>
      <c r="X77" s="180">
        <f t="shared" si="28"/>
        <v>0.3344827586206897</v>
      </c>
      <c r="Y77" s="264">
        <f t="shared" si="16"/>
        <v>-0.4716308972041373</v>
      </c>
    </row>
    <row r="78" spans="1:25" s="6" customFormat="1" ht="30.75">
      <c r="A78" s="8"/>
      <c r="B78" s="109" t="s">
        <v>55</v>
      </c>
      <c r="C78" s="38">
        <v>31020000</v>
      </c>
      <c r="D78" s="341"/>
      <c r="E78" s="123">
        <v>0</v>
      </c>
      <c r="F78" s="123">
        <f>E78</f>
        <v>0</v>
      </c>
      <c r="G78" s="127">
        <v>0.11</v>
      </c>
      <c r="H78" s="123">
        <f t="shared" si="22"/>
        <v>0.11</v>
      </c>
      <c r="I78" s="280" t="e">
        <f>G78/F78</f>
        <v>#DIV/0!</v>
      </c>
      <c r="J78" s="136">
        <f t="shared" si="24"/>
        <v>0.11</v>
      </c>
      <c r="K78" s="180"/>
      <c r="L78" s="136"/>
      <c r="M78" s="136"/>
      <c r="N78" s="136"/>
      <c r="O78" s="136">
        <v>-4.86</v>
      </c>
      <c r="P78" s="136">
        <f>E78-O78</f>
        <v>4.86</v>
      </c>
      <c r="Q78" s="180">
        <f>E78/O78</f>
        <v>0</v>
      </c>
      <c r="R78" s="136">
        <v>-5.33</v>
      </c>
      <c r="S78" s="136">
        <f t="shared" si="5"/>
        <v>5.44</v>
      </c>
      <c r="T78" s="180">
        <f t="shared" si="27"/>
        <v>-0.020637898686679174</v>
      </c>
      <c r="U78" s="128">
        <f>F78-січень!F78</f>
        <v>0</v>
      </c>
      <c r="V78" s="131">
        <f>G78-січень!G78</f>
        <v>0.11</v>
      </c>
      <c r="W78" s="132">
        <f t="shared" si="23"/>
        <v>0.11</v>
      </c>
      <c r="X78" s="180"/>
      <c r="Y78" s="264">
        <f t="shared" si="16"/>
        <v>-0.020637898686679174</v>
      </c>
    </row>
    <row r="79" spans="1:25" s="6" customFormat="1" ht="17.25">
      <c r="A79" s="9"/>
      <c r="B79" s="13" t="s">
        <v>124</v>
      </c>
      <c r="C79" s="57"/>
      <c r="D79" s="14">
        <f>D8+D53+D77+D78</f>
        <v>1627917.7</v>
      </c>
      <c r="E79" s="124">
        <f>E8+E53+E77+E78</f>
        <v>1627917.7</v>
      </c>
      <c r="F79" s="124">
        <f>F8+F53+F77+F78</f>
        <v>236403.65700000004</v>
      </c>
      <c r="G79" s="124">
        <f>G8+G53+G77+G78</f>
        <v>171669.15999999997</v>
      </c>
      <c r="H79" s="124">
        <f>G79-F79</f>
        <v>-64734.49700000006</v>
      </c>
      <c r="I79" s="277">
        <f>G79/F79</f>
        <v>0.7261696463519596</v>
      </c>
      <c r="J79" s="125">
        <f>G79-E79</f>
        <v>-1456248.54</v>
      </c>
      <c r="K79" s="181">
        <f>G79/E79</f>
        <v>0.10545321793601727</v>
      </c>
      <c r="L79" s="125"/>
      <c r="M79" s="125"/>
      <c r="N79" s="125"/>
      <c r="O79" s="125">
        <v>1398996.46</v>
      </c>
      <c r="P79" s="125">
        <f>E79-O79</f>
        <v>228921.24</v>
      </c>
      <c r="Q79" s="181">
        <f>E79/O79</f>
        <v>1.163632465517461</v>
      </c>
      <c r="R79" s="124">
        <v>203526.37</v>
      </c>
      <c r="S79" s="125">
        <f>G79-R79</f>
        <v>-31857.21000000002</v>
      </c>
      <c r="T79" s="181">
        <f>G79/R79</f>
        <v>0.8434737965404678</v>
      </c>
      <c r="U79" s="124">
        <f>U8+U53+U77+U78</f>
        <v>121125.10800000001</v>
      </c>
      <c r="V79" s="124">
        <f>V8+V53+V77+V78</f>
        <v>56390.61999999999</v>
      </c>
      <c r="W79" s="159">
        <f>V79-U79</f>
        <v>-64734.48800000002</v>
      </c>
      <c r="X79" s="181">
        <f>V79/U79</f>
        <v>0.46555681915263997</v>
      </c>
      <c r="Y79" s="264">
        <f t="shared" si="16"/>
        <v>-0.3201586689769932</v>
      </c>
    </row>
    <row r="80" spans="1:25" s="43" customFormat="1" ht="17.25" hidden="1">
      <c r="A80" s="40"/>
      <c r="B80" s="50"/>
      <c r="C80" s="58"/>
      <c r="D80" s="351"/>
      <c r="E80" s="41"/>
      <c r="F80" s="41"/>
      <c r="G80" s="77"/>
      <c r="H80" s="72"/>
      <c r="I80" s="281"/>
      <c r="J80" s="49"/>
      <c r="K80" s="84"/>
      <c r="L80" s="32"/>
      <c r="M80" s="32"/>
      <c r="N80" s="32"/>
      <c r="O80" s="32"/>
      <c r="P80" s="32"/>
      <c r="Q80" s="84"/>
      <c r="R80" s="32"/>
      <c r="S80" s="32"/>
      <c r="T80" s="32"/>
      <c r="U80" s="42"/>
      <c r="V80" s="41"/>
      <c r="W80" s="74"/>
      <c r="X80" s="84"/>
      <c r="Y80" s="264">
        <f t="shared" si="16"/>
        <v>0</v>
      </c>
    </row>
    <row r="81" spans="1:25" s="43" customFormat="1" ht="17.25" hidden="1">
      <c r="A81" s="40"/>
      <c r="B81" s="51"/>
      <c r="C81" s="58"/>
      <c r="D81" s="351"/>
      <c r="E81" s="52"/>
      <c r="F81" s="41"/>
      <c r="G81" s="77"/>
      <c r="H81" s="36"/>
      <c r="I81" s="281"/>
      <c r="J81" s="53"/>
      <c r="K81" s="84"/>
      <c r="L81" s="32"/>
      <c r="M81" s="32"/>
      <c r="N81" s="32"/>
      <c r="O81" s="32"/>
      <c r="P81" s="32"/>
      <c r="Q81" s="84"/>
      <c r="R81" s="32"/>
      <c r="S81" s="32"/>
      <c r="T81" s="32"/>
      <c r="U81" s="27"/>
      <c r="V81" s="41"/>
      <c r="W81" s="54"/>
      <c r="X81" s="84"/>
      <c r="Y81" s="264">
        <f t="shared" si="16"/>
        <v>0</v>
      </c>
    </row>
    <row r="82" spans="1:25" s="43" customFormat="1" ht="17.25" hidden="1">
      <c r="A82" s="40"/>
      <c r="B82" s="51"/>
      <c r="C82" s="58"/>
      <c r="D82" s="351"/>
      <c r="E82" s="52"/>
      <c r="F82" s="31"/>
      <c r="G82" s="92"/>
      <c r="H82" s="36"/>
      <c r="I82" s="281"/>
      <c r="J82" s="53"/>
      <c r="K82" s="84"/>
      <c r="L82" s="32"/>
      <c r="M82" s="32"/>
      <c r="N82" s="32"/>
      <c r="O82" s="32"/>
      <c r="P82" s="32"/>
      <c r="Q82" s="84"/>
      <c r="R82" s="32"/>
      <c r="S82" s="32"/>
      <c r="T82" s="32"/>
      <c r="U82" s="27"/>
      <c r="V82" s="52"/>
      <c r="W82" s="74"/>
      <c r="X82" s="84"/>
      <c r="Y82" s="264">
        <f t="shared" si="16"/>
        <v>0</v>
      </c>
    </row>
    <row r="83" spans="2:25" ht="15">
      <c r="B83" s="21" t="s">
        <v>100</v>
      </c>
      <c r="C83" s="59"/>
      <c r="D83" s="352"/>
      <c r="E83" s="23"/>
      <c r="F83" s="23"/>
      <c r="G83" s="117"/>
      <c r="H83" s="31"/>
      <c r="I83" s="282"/>
      <c r="J83" s="35"/>
      <c r="K83" s="85"/>
      <c r="L83" s="35"/>
      <c r="M83" s="35"/>
      <c r="N83" s="35"/>
      <c r="O83" s="35"/>
      <c r="P83" s="35"/>
      <c r="Q83" s="85"/>
      <c r="R83" s="35"/>
      <c r="S83" s="35"/>
      <c r="T83" s="35"/>
      <c r="U83" s="28"/>
      <c r="V83" s="121"/>
      <c r="W83" s="33"/>
      <c r="X83" s="85"/>
      <c r="Y83" s="264">
        <f t="shared" si="16"/>
        <v>0</v>
      </c>
    </row>
    <row r="84" spans="2:25" ht="25.5" customHeight="1" hidden="1">
      <c r="B84" s="192" t="s">
        <v>95</v>
      </c>
      <c r="C84" s="111">
        <v>12020000</v>
      </c>
      <c r="D84" s="353"/>
      <c r="E84" s="146">
        <v>0</v>
      </c>
      <c r="F84" s="146"/>
      <c r="G84" s="147">
        <v>0.01</v>
      </c>
      <c r="H84" s="133"/>
      <c r="I84" s="280"/>
      <c r="J84" s="138"/>
      <c r="K84" s="172"/>
      <c r="L84" s="138"/>
      <c r="M84" s="138"/>
      <c r="N84" s="138"/>
      <c r="O84" s="138"/>
      <c r="P84" s="138"/>
      <c r="Q84" s="172"/>
      <c r="R84" s="138">
        <f>O84</f>
        <v>0</v>
      </c>
      <c r="S84" s="138">
        <f>G84-R84</f>
        <v>0.01</v>
      </c>
      <c r="T84" s="172" t="e">
        <f>G84/R84</f>
        <v>#DIV/0!</v>
      </c>
      <c r="U84" s="133">
        <f>F84-січень!F84</f>
        <v>0</v>
      </c>
      <c r="V84" s="131">
        <f>G84-січень!G84</f>
        <v>0</v>
      </c>
      <c r="W84" s="138"/>
      <c r="X84" s="172"/>
      <c r="Y84" s="264" t="e">
        <f t="shared" si="16"/>
        <v>#DIV/0!</v>
      </c>
    </row>
    <row r="85" spans="2:25" ht="31.5" hidden="1">
      <c r="B85" s="22" t="s">
        <v>60</v>
      </c>
      <c r="C85" s="68">
        <v>18041500</v>
      </c>
      <c r="D85" s="354"/>
      <c r="E85" s="146">
        <v>0</v>
      </c>
      <c r="F85" s="146">
        <v>0</v>
      </c>
      <c r="G85" s="147">
        <v>0</v>
      </c>
      <c r="H85" s="133">
        <f>G85-F85</f>
        <v>0</v>
      </c>
      <c r="I85" s="280"/>
      <c r="J85" s="138">
        <f>G85-E85</f>
        <v>0</v>
      </c>
      <c r="K85" s="172"/>
      <c r="L85" s="138"/>
      <c r="M85" s="138"/>
      <c r="N85" s="138"/>
      <c r="O85" s="138">
        <v>-2.64</v>
      </c>
      <c r="P85" s="138">
        <f>E85-O85</f>
        <v>2.64</v>
      </c>
      <c r="Q85" s="172">
        <f>E85/O85</f>
        <v>0</v>
      </c>
      <c r="R85" s="138">
        <v>0</v>
      </c>
      <c r="S85" s="138">
        <f>G85-R85</f>
        <v>0</v>
      </c>
      <c r="T85" s="172" t="e">
        <f>G85/R85</f>
        <v>#DIV/0!</v>
      </c>
      <c r="U85" s="133">
        <f>F85-січень!F85</f>
        <v>0</v>
      </c>
      <c r="V85" s="131">
        <f>G85-січень!G85</f>
        <v>0</v>
      </c>
      <c r="W85" s="138">
        <f>V85-U85</f>
        <v>0</v>
      </c>
      <c r="X85" s="172"/>
      <c r="Y85" s="264" t="e">
        <f t="shared" si="16"/>
        <v>#DIV/0!</v>
      </c>
    </row>
    <row r="86" spans="2:25" ht="17.25" hidden="1">
      <c r="B86" s="25" t="s">
        <v>43</v>
      </c>
      <c r="C86" s="69"/>
      <c r="D86" s="148">
        <f>D85</f>
        <v>0</v>
      </c>
      <c r="E86" s="148">
        <f>E85</f>
        <v>0</v>
      </c>
      <c r="F86" s="148">
        <f>F85</f>
        <v>0</v>
      </c>
      <c r="G86" s="149">
        <f>SUM(G84:G85)</f>
        <v>0.01</v>
      </c>
      <c r="H86" s="150">
        <f>G86-F86</f>
        <v>0.01</v>
      </c>
      <c r="I86" s="283"/>
      <c r="J86" s="152">
        <f>G86-E86</f>
        <v>0.01</v>
      </c>
      <c r="K86" s="176"/>
      <c r="L86" s="152"/>
      <c r="M86" s="152"/>
      <c r="N86" s="152"/>
      <c r="O86" s="152">
        <v>-2.64</v>
      </c>
      <c r="P86" s="152">
        <f>E86-O86</f>
        <v>2.64</v>
      </c>
      <c r="Q86" s="176">
        <f>E86/O86</f>
        <v>0</v>
      </c>
      <c r="R86" s="152">
        <v>0</v>
      </c>
      <c r="S86" s="152">
        <f aca="true" t="shared" si="29" ref="S86:S98">G86-R86</f>
        <v>0.01</v>
      </c>
      <c r="T86" s="176" t="e">
        <f aca="true" t="shared" si="30" ref="T86:T101">G86/R86</f>
        <v>#DIV/0!</v>
      </c>
      <c r="U86" s="150">
        <f>F86-січень!F86</f>
        <v>0</v>
      </c>
      <c r="V86" s="222">
        <f>G86-січень!G86</f>
        <v>0</v>
      </c>
      <c r="W86" s="152">
        <f>V86-U86</f>
        <v>0</v>
      </c>
      <c r="X86" s="176"/>
      <c r="Y86" s="264" t="e">
        <f t="shared" si="16"/>
        <v>#DIV/0!</v>
      </c>
    </row>
    <row r="87" spans="2:25" ht="45.75" hidden="1">
      <c r="B87" s="25" t="s">
        <v>35</v>
      </c>
      <c r="C87" s="111">
        <v>21110000</v>
      </c>
      <c r="D87" s="353">
        <v>0</v>
      </c>
      <c r="E87" s="148">
        <v>0</v>
      </c>
      <c r="F87" s="148">
        <v>0</v>
      </c>
      <c r="G87" s="149">
        <v>0</v>
      </c>
      <c r="H87" s="150">
        <f aca="true" t="shared" si="31" ref="H87:H98">G87-F87</f>
        <v>0</v>
      </c>
      <c r="I87" s="283"/>
      <c r="J87" s="152">
        <f>G87-E87</f>
        <v>0</v>
      </c>
      <c r="K87" s="176"/>
      <c r="L87" s="152"/>
      <c r="M87" s="152"/>
      <c r="N87" s="152"/>
      <c r="O87" s="152">
        <v>35.57</v>
      </c>
      <c r="P87" s="152">
        <f aca="true" t="shared" si="32" ref="P87:P98">E87-O87</f>
        <v>-35.57</v>
      </c>
      <c r="Q87" s="176">
        <f aca="true" t="shared" si="33" ref="Q87:Q98">E87/O87</f>
        <v>0</v>
      </c>
      <c r="R87" s="152">
        <v>11.81</v>
      </c>
      <c r="S87" s="152">
        <f t="shared" si="29"/>
        <v>-11.81</v>
      </c>
      <c r="T87" s="172"/>
      <c r="U87" s="150">
        <f>F87-січень!F87</f>
        <v>0</v>
      </c>
      <c r="V87" s="222">
        <f>G87-січень!G87</f>
        <v>0</v>
      </c>
      <c r="W87" s="152">
        <f aca="true" t="shared" si="34" ref="W87:W98">V87-U87</f>
        <v>0</v>
      </c>
      <c r="X87" s="176"/>
      <c r="Y87" s="264"/>
    </row>
    <row r="88" spans="2:25" ht="31.5">
      <c r="B88" s="22" t="s">
        <v>28</v>
      </c>
      <c r="C88" s="68">
        <v>31030000</v>
      </c>
      <c r="D88" s="368">
        <v>5000</v>
      </c>
      <c r="E88" s="146">
        <v>5000</v>
      </c>
      <c r="F88" s="146">
        <v>806.429</v>
      </c>
      <c r="G88" s="147">
        <v>806.43</v>
      </c>
      <c r="H88" s="133">
        <f t="shared" si="31"/>
        <v>0.0009999999999763531</v>
      </c>
      <c r="I88" s="280">
        <f>G88/F88</f>
        <v>1.0000012400347706</v>
      </c>
      <c r="J88" s="138">
        <f>G88-E88</f>
        <v>-4193.57</v>
      </c>
      <c r="K88" s="172">
        <f>G88/E88</f>
        <v>0.16128599999999998</v>
      </c>
      <c r="L88" s="138"/>
      <c r="M88" s="138"/>
      <c r="N88" s="138"/>
      <c r="O88" s="138">
        <v>938.14</v>
      </c>
      <c r="P88" s="138">
        <f t="shared" si="32"/>
        <v>4061.86</v>
      </c>
      <c r="Q88" s="172">
        <f t="shared" si="33"/>
        <v>5.329694928262306</v>
      </c>
      <c r="R88" s="138">
        <v>0.04</v>
      </c>
      <c r="S88" s="138">
        <f t="shared" si="29"/>
        <v>806.39</v>
      </c>
      <c r="T88" s="172">
        <f t="shared" si="30"/>
        <v>20160.75</v>
      </c>
      <c r="U88" s="133">
        <f>F88-січень!F88</f>
        <v>0</v>
      </c>
      <c r="V88" s="139">
        <f>G88-січень!G88</f>
        <v>0</v>
      </c>
      <c r="W88" s="138">
        <f t="shared" si="34"/>
        <v>0</v>
      </c>
      <c r="X88" s="172" t="e">
        <f>V88/U88</f>
        <v>#DIV/0!</v>
      </c>
      <c r="Y88" s="264">
        <f t="shared" si="16"/>
        <v>20155.420305071737</v>
      </c>
    </row>
    <row r="89" spans="2:25" ht="18">
      <c r="B89" s="22" t="s">
        <v>29</v>
      </c>
      <c r="C89" s="68">
        <v>33010000</v>
      </c>
      <c r="D89" s="368">
        <v>16449</v>
      </c>
      <c r="E89" s="146">
        <v>16449</v>
      </c>
      <c r="F89" s="146">
        <v>1015</v>
      </c>
      <c r="G89" s="147">
        <v>116.55</v>
      </c>
      <c r="H89" s="133">
        <f t="shared" si="31"/>
        <v>-898.45</v>
      </c>
      <c r="I89" s="280">
        <f>G89/F89</f>
        <v>0.11482758620689655</v>
      </c>
      <c r="J89" s="138">
        <f aca="true" t="shared" si="35" ref="J89:J98">G89-E89</f>
        <v>-16332.45</v>
      </c>
      <c r="K89" s="172">
        <f>G89/E89</f>
        <v>0.0070855371147182196</v>
      </c>
      <c r="L89" s="138"/>
      <c r="M89" s="138"/>
      <c r="N89" s="138"/>
      <c r="O89" s="138">
        <v>8143.65</v>
      </c>
      <c r="P89" s="138">
        <f t="shared" si="32"/>
        <v>8305.35</v>
      </c>
      <c r="Q89" s="172">
        <f t="shared" si="33"/>
        <v>2.0198559613932328</v>
      </c>
      <c r="R89" s="138">
        <v>1.9</v>
      </c>
      <c r="S89" s="138">
        <f t="shared" si="29"/>
        <v>114.64999999999999</v>
      </c>
      <c r="T89" s="172">
        <f t="shared" si="30"/>
        <v>61.3421052631579</v>
      </c>
      <c r="U89" s="133">
        <f>F89-січень!F89</f>
        <v>1000</v>
      </c>
      <c r="V89" s="139">
        <f>G89-січень!G89</f>
        <v>101.55</v>
      </c>
      <c r="W89" s="138">
        <f t="shared" si="34"/>
        <v>-898.45</v>
      </c>
      <c r="X89" s="172">
        <f>V89/U89</f>
        <v>0.10155</v>
      </c>
      <c r="Y89" s="264">
        <f t="shared" si="16"/>
        <v>59.322249301764664</v>
      </c>
    </row>
    <row r="90" spans="2:25" ht="31.5">
      <c r="B90" s="22" t="s">
        <v>52</v>
      </c>
      <c r="C90" s="68">
        <v>24170000</v>
      </c>
      <c r="D90" s="368">
        <v>22000</v>
      </c>
      <c r="E90" s="146">
        <v>22000</v>
      </c>
      <c r="F90" s="146">
        <v>3000</v>
      </c>
      <c r="G90" s="147">
        <v>167.01</v>
      </c>
      <c r="H90" s="133">
        <f t="shared" si="31"/>
        <v>-2832.99</v>
      </c>
      <c r="I90" s="280">
        <f>G90/F90</f>
        <v>0.05567</v>
      </c>
      <c r="J90" s="138">
        <f t="shared" si="35"/>
        <v>-21832.99</v>
      </c>
      <c r="K90" s="172">
        <f>G90/E90</f>
        <v>0.007591363636363636</v>
      </c>
      <c r="L90" s="138"/>
      <c r="M90" s="138"/>
      <c r="N90" s="138"/>
      <c r="O90" s="138">
        <v>17305.88</v>
      </c>
      <c r="P90" s="138">
        <f t="shared" si="32"/>
        <v>4694.119999999999</v>
      </c>
      <c r="Q90" s="172">
        <f t="shared" si="33"/>
        <v>1.2712442245063527</v>
      </c>
      <c r="R90" s="138">
        <v>90.12</v>
      </c>
      <c r="S90" s="138">
        <f t="shared" si="29"/>
        <v>76.88999999999999</v>
      </c>
      <c r="T90" s="172">
        <f t="shared" si="30"/>
        <v>1.853195739014647</v>
      </c>
      <c r="U90" s="133">
        <f>F90-січень!F90</f>
        <v>2843</v>
      </c>
      <c r="V90" s="139">
        <f>G90-січень!G90</f>
        <v>10</v>
      </c>
      <c r="W90" s="138">
        <f t="shared" si="34"/>
        <v>-2833</v>
      </c>
      <c r="X90" s="172">
        <f>V90/U90</f>
        <v>0.0035174111853675696</v>
      </c>
      <c r="Y90" s="264">
        <f t="shared" si="16"/>
        <v>0.5819515145082943</v>
      </c>
    </row>
    <row r="91" spans="2:25" ht="18">
      <c r="B91" s="22" t="s">
        <v>96</v>
      </c>
      <c r="C91" s="68">
        <v>24110700</v>
      </c>
      <c r="D91" s="368">
        <v>24</v>
      </c>
      <c r="E91" s="146">
        <v>24</v>
      </c>
      <c r="F91" s="146">
        <v>4</v>
      </c>
      <c r="G91" s="147">
        <v>2</v>
      </c>
      <c r="H91" s="133">
        <f t="shared" si="31"/>
        <v>-2</v>
      </c>
      <c r="I91" s="280">
        <f>G91/F91</f>
        <v>0.5</v>
      </c>
      <c r="J91" s="138">
        <f t="shared" si="35"/>
        <v>-22</v>
      </c>
      <c r="K91" s="172">
        <f>G91/E91</f>
        <v>0.08333333333333333</v>
      </c>
      <c r="L91" s="138"/>
      <c r="M91" s="138"/>
      <c r="N91" s="138"/>
      <c r="O91" s="138">
        <v>20</v>
      </c>
      <c r="P91" s="138">
        <f t="shared" si="32"/>
        <v>4</v>
      </c>
      <c r="Q91" s="172">
        <f t="shared" si="33"/>
        <v>1.2</v>
      </c>
      <c r="R91" s="138">
        <v>1</v>
      </c>
      <c r="S91" s="138">
        <f t="shared" si="29"/>
        <v>1</v>
      </c>
      <c r="T91" s="172">
        <f t="shared" si="30"/>
        <v>2</v>
      </c>
      <c r="U91" s="133">
        <f>F91-січень!F91</f>
        <v>3</v>
      </c>
      <c r="V91" s="139">
        <f>G91-січень!G91</f>
        <v>1</v>
      </c>
      <c r="W91" s="138">
        <f t="shared" si="34"/>
        <v>-2</v>
      </c>
      <c r="X91" s="172">
        <f>V91/U91</f>
        <v>0.3333333333333333</v>
      </c>
      <c r="Y91" s="264">
        <f t="shared" si="16"/>
        <v>0.8</v>
      </c>
    </row>
    <row r="92" spans="2:25" ht="33">
      <c r="B92" s="25" t="s">
        <v>49</v>
      </c>
      <c r="C92" s="60"/>
      <c r="D92" s="148">
        <f>D88+D89+D90+D91</f>
        <v>43473</v>
      </c>
      <c r="E92" s="148">
        <f>E88+E89+E90+E91</f>
        <v>43473</v>
      </c>
      <c r="F92" s="148">
        <f>F88+F89+F90+F91</f>
        <v>4825.429</v>
      </c>
      <c r="G92" s="149">
        <f>G88+G89+G90+G91</f>
        <v>1091.9899999999998</v>
      </c>
      <c r="H92" s="150">
        <f t="shared" si="31"/>
        <v>-3733.4390000000003</v>
      </c>
      <c r="I92" s="283">
        <f>G92/F92</f>
        <v>0.226299050302056</v>
      </c>
      <c r="J92" s="152">
        <f t="shared" si="35"/>
        <v>-42381.01</v>
      </c>
      <c r="K92" s="176">
        <f>G92/E92</f>
        <v>0.025118809375934484</v>
      </c>
      <c r="L92" s="152"/>
      <c r="M92" s="152"/>
      <c r="N92" s="152"/>
      <c r="O92" s="152">
        <v>26407.66</v>
      </c>
      <c r="P92" s="152">
        <f t="shared" si="32"/>
        <v>17065.34</v>
      </c>
      <c r="Q92" s="176">
        <f t="shared" si="33"/>
        <v>1.6462268902280626</v>
      </c>
      <c r="R92" s="152">
        <v>93.06</v>
      </c>
      <c r="S92" s="138">
        <f t="shared" si="29"/>
        <v>998.9299999999998</v>
      </c>
      <c r="T92" s="172">
        <f t="shared" si="30"/>
        <v>11.734257468300019</v>
      </c>
      <c r="U92" s="150">
        <f>F92-січень!F92</f>
        <v>3846</v>
      </c>
      <c r="V92" s="222">
        <f>G92-січень!G92</f>
        <v>112.54999999999984</v>
      </c>
      <c r="W92" s="152">
        <f t="shared" si="34"/>
        <v>-3733.4500000000003</v>
      </c>
      <c r="X92" s="176">
        <f>V92/U92</f>
        <v>0.029264170566822633</v>
      </c>
      <c r="Y92" s="264">
        <f t="shared" si="16"/>
        <v>10.088030578071956</v>
      </c>
    </row>
    <row r="93" spans="2:25" ht="46.5">
      <c r="B93" s="12" t="s">
        <v>38</v>
      </c>
      <c r="C93" s="70">
        <v>24062100</v>
      </c>
      <c r="D93" s="369">
        <v>43</v>
      </c>
      <c r="E93" s="146">
        <v>43</v>
      </c>
      <c r="F93" s="146">
        <v>3</v>
      </c>
      <c r="G93" s="147">
        <v>0.02</v>
      </c>
      <c r="H93" s="133">
        <f t="shared" si="31"/>
        <v>-2.98</v>
      </c>
      <c r="I93" s="280"/>
      <c r="J93" s="138">
        <f t="shared" si="35"/>
        <v>-42.98</v>
      </c>
      <c r="K93" s="172"/>
      <c r="L93" s="138"/>
      <c r="M93" s="138"/>
      <c r="N93" s="138"/>
      <c r="O93" s="138">
        <v>49.17</v>
      </c>
      <c r="P93" s="138">
        <f t="shared" si="32"/>
        <v>-6.170000000000002</v>
      </c>
      <c r="Q93" s="172">
        <f t="shared" si="33"/>
        <v>0.8745169818995322</v>
      </c>
      <c r="R93" s="138">
        <v>0</v>
      </c>
      <c r="S93" s="138">
        <f t="shared" si="29"/>
        <v>0.02</v>
      </c>
      <c r="T93" s="172" t="e">
        <f t="shared" si="30"/>
        <v>#DIV/0!</v>
      </c>
      <c r="U93" s="133">
        <f>F93-січень!F93</f>
        <v>3</v>
      </c>
      <c r="V93" s="139">
        <f>G93-січень!G93</f>
        <v>0.01</v>
      </c>
      <c r="W93" s="138">
        <f t="shared" si="34"/>
        <v>-2.99</v>
      </c>
      <c r="X93" s="172"/>
      <c r="Y93" s="264" t="e">
        <f t="shared" si="16"/>
        <v>#DIV/0!</v>
      </c>
    </row>
    <row r="94" spans="2:25" ht="18" hidden="1">
      <c r="B94" s="193" t="s">
        <v>50</v>
      </c>
      <c r="C94" s="68">
        <v>24061600</v>
      </c>
      <c r="D94" s="368"/>
      <c r="E94" s="146">
        <v>0</v>
      </c>
      <c r="F94" s="146">
        <f>E94</f>
        <v>0</v>
      </c>
      <c r="G94" s="147">
        <v>0</v>
      </c>
      <c r="H94" s="133">
        <f t="shared" si="31"/>
        <v>0</v>
      </c>
      <c r="I94" s="280"/>
      <c r="J94" s="138">
        <f t="shared" si="35"/>
        <v>0</v>
      </c>
      <c r="K94" s="291"/>
      <c r="L94" s="155"/>
      <c r="M94" s="155"/>
      <c r="N94" s="155"/>
      <c r="O94" s="155"/>
      <c r="P94" s="138">
        <f t="shared" si="32"/>
        <v>0</v>
      </c>
      <c r="Q94" s="172" t="e">
        <f t="shared" si="33"/>
        <v>#DIV/0!</v>
      </c>
      <c r="R94" s="138">
        <f>O94</f>
        <v>0</v>
      </c>
      <c r="S94" s="138">
        <f t="shared" si="29"/>
        <v>0</v>
      </c>
      <c r="T94" s="172" t="e">
        <f t="shared" si="30"/>
        <v>#DIV/0!</v>
      </c>
      <c r="U94" s="133">
        <f>F94-січень!F94</f>
        <v>0</v>
      </c>
      <c r="V94" s="139">
        <f>G94-січень!G94</f>
        <v>0</v>
      </c>
      <c r="W94" s="138">
        <f t="shared" si="34"/>
        <v>0</v>
      </c>
      <c r="X94" s="291"/>
      <c r="Y94" s="264" t="e">
        <f t="shared" si="16"/>
        <v>#DIV/0!</v>
      </c>
    </row>
    <row r="95" spans="2:25" ht="18">
      <c r="B95" s="22" t="s">
        <v>44</v>
      </c>
      <c r="C95" s="68">
        <v>19010000</v>
      </c>
      <c r="D95" s="368">
        <v>9050</v>
      </c>
      <c r="E95" s="146">
        <v>9050</v>
      </c>
      <c r="F95" s="146">
        <v>2818.75</v>
      </c>
      <c r="G95" s="147">
        <v>500.05</v>
      </c>
      <c r="H95" s="133">
        <f t="shared" si="31"/>
        <v>-2318.7</v>
      </c>
      <c r="I95" s="280">
        <f>G95/F95</f>
        <v>0.17740133037694014</v>
      </c>
      <c r="J95" s="138">
        <f t="shared" si="35"/>
        <v>-8549.95</v>
      </c>
      <c r="K95" s="172">
        <f>G95/E95</f>
        <v>0.05525414364640884</v>
      </c>
      <c r="L95" s="138"/>
      <c r="M95" s="138"/>
      <c r="N95" s="138"/>
      <c r="O95" s="138">
        <v>8033.94</v>
      </c>
      <c r="P95" s="138">
        <f t="shared" si="32"/>
        <v>1016.0600000000004</v>
      </c>
      <c r="Q95" s="172">
        <f t="shared" si="33"/>
        <v>1.1264709470073215</v>
      </c>
      <c r="R95" s="138">
        <v>11.48</v>
      </c>
      <c r="S95" s="138">
        <f t="shared" si="29"/>
        <v>488.57</v>
      </c>
      <c r="T95" s="172">
        <f t="shared" si="30"/>
        <v>43.55836236933798</v>
      </c>
      <c r="U95" s="133">
        <f>F95-січень!F95</f>
        <v>2356</v>
      </c>
      <c r="V95" s="139">
        <f>G95-січень!G95</f>
        <v>36.81</v>
      </c>
      <c r="W95" s="138">
        <f t="shared" si="34"/>
        <v>-2319.19</v>
      </c>
      <c r="X95" s="172">
        <f>V95/U95</f>
        <v>0.015623938879456708</v>
      </c>
      <c r="Y95" s="264">
        <f t="shared" si="16"/>
        <v>42.43189142233066</v>
      </c>
    </row>
    <row r="96" spans="2:25" ht="31.5" hidden="1">
      <c r="B96" s="22" t="s">
        <v>48</v>
      </c>
      <c r="C96" s="68">
        <v>19050000</v>
      </c>
      <c r="D96" s="354"/>
      <c r="E96" s="146">
        <v>0</v>
      </c>
      <c r="F96" s="146">
        <v>0</v>
      </c>
      <c r="G96" s="147">
        <v>0</v>
      </c>
      <c r="H96" s="133">
        <f t="shared" si="31"/>
        <v>0</v>
      </c>
      <c r="I96" s="280"/>
      <c r="J96" s="138">
        <f t="shared" si="35"/>
        <v>0</v>
      </c>
      <c r="K96" s="172"/>
      <c r="L96" s="138"/>
      <c r="M96" s="138"/>
      <c r="N96" s="138"/>
      <c r="O96" s="138">
        <v>0.1</v>
      </c>
      <c r="P96" s="138">
        <f t="shared" si="32"/>
        <v>-0.1</v>
      </c>
      <c r="Q96" s="172">
        <f t="shared" si="33"/>
        <v>0</v>
      </c>
      <c r="R96" s="138">
        <v>0</v>
      </c>
      <c r="S96" s="138">
        <f t="shared" si="29"/>
        <v>0</v>
      </c>
      <c r="T96" s="172" t="e">
        <f t="shared" si="30"/>
        <v>#DIV/0!</v>
      </c>
      <c r="U96" s="133">
        <f>F96-січень!F96</f>
        <v>0</v>
      </c>
      <c r="V96" s="139">
        <f>G96-січень!G96</f>
        <v>0</v>
      </c>
      <c r="W96" s="138">
        <f t="shared" si="34"/>
        <v>0</v>
      </c>
      <c r="X96" s="291"/>
      <c r="Y96" s="264" t="e">
        <f t="shared" si="16"/>
        <v>#DIV/0!</v>
      </c>
    </row>
    <row r="97" spans="2:25" ht="30.75">
      <c r="B97" s="25" t="s">
        <v>45</v>
      </c>
      <c r="C97" s="68"/>
      <c r="D97" s="148">
        <f>D93+D96+D94+D95</f>
        <v>9093</v>
      </c>
      <c r="E97" s="148">
        <f>E93+E96+E94+E95</f>
        <v>9093</v>
      </c>
      <c r="F97" s="148">
        <f>F93+F96+F94+F95</f>
        <v>2821.75</v>
      </c>
      <c r="G97" s="149">
        <f>G93+G96+G94+G95</f>
        <v>500.07</v>
      </c>
      <c r="H97" s="150">
        <f t="shared" si="31"/>
        <v>-2321.68</v>
      </c>
      <c r="I97" s="283">
        <f>G97/F97</f>
        <v>0.17721981040134668</v>
      </c>
      <c r="J97" s="152">
        <f t="shared" si="35"/>
        <v>-8592.93</v>
      </c>
      <c r="K97" s="176">
        <f>G97/E97</f>
        <v>0.0549950511382382</v>
      </c>
      <c r="L97" s="152"/>
      <c r="M97" s="152"/>
      <c r="N97" s="152"/>
      <c r="O97" s="152">
        <v>8083.21</v>
      </c>
      <c r="P97" s="152">
        <f t="shared" si="32"/>
        <v>1009.79</v>
      </c>
      <c r="Q97" s="176">
        <f t="shared" si="33"/>
        <v>1.1249243802895137</v>
      </c>
      <c r="R97" s="152">
        <v>11.82</v>
      </c>
      <c r="S97" s="138">
        <f t="shared" si="29"/>
        <v>488.25</v>
      </c>
      <c r="T97" s="172">
        <f t="shared" si="30"/>
        <v>42.30710659898477</v>
      </c>
      <c r="U97" s="150">
        <f>F97-січень!F97</f>
        <v>2359</v>
      </c>
      <c r="V97" s="222">
        <f>G97-січень!G97</f>
        <v>36.81999999999999</v>
      </c>
      <c r="W97" s="152">
        <f t="shared" si="34"/>
        <v>-2322.18</v>
      </c>
      <c r="X97" s="176">
        <f>V97/U97</f>
        <v>0.015608308605341244</v>
      </c>
      <c r="Y97" s="264">
        <f t="shared" si="16"/>
        <v>41.18218221869525</v>
      </c>
    </row>
    <row r="98" spans="2:25" ht="30.75">
      <c r="B98" s="12" t="s">
        <v>39</v>
      </c>
      <c r="C98" s="38">
        <v>24110900</v>
      </c>
      <c r="D98" s="341">
        <v>19.413</v>
      </c>
      <c r="E98" s="146">
        <v>19.413</v>
      </c>
      <c r="F98" s="146">
        <v>3.46</v>
      </c>
      <c r="G98" s="147">
        <v>1.94</v>
      </c>
      <c r="H98" s="133">
        <f t="shared" si="31"/>
        <v>-1.52</v>
      </c>
      <c r="I98" s="280">
        <f>G98/F98</f>
        <v>0.5606936416184971</v>
      </c>
      <c r="J98" s="138">
        <f t="shared" si="35"/>
        <v>-17.473</v>
      </c>
      <c r="K98" s="172">
        <f>G98/E98</f>
        <v>0.0999330345644671</v>
      </c>
      <c r="L98" s="138"/>
      <c r="M98" s="138"/>
      <c r="N98" s="138"/>
      <c r="O98" s="138">
        <v>37.96</v>
      </c>
      <c r="P98" s="138">
        <f t="shared" si="32"/>
        <v>-18.547</v>
      </c>
      <c r="Q98" s="172">
        <f t="shared" si="33"/>
        <v>0.5114067439409905</v>
      </c>
      <c r="R98" s="152">
        <v>0.34</v>
      </c>
      <c r="S98" s="138">
        <f t="shared" si="29"/>
        <v>1.5999999999999999</v>
      </c>
      <c r="T98" s="172">
        <f t="shared" si="30"/>
        <v>5.705882352941176</v>
      </c>
      <c r="U98" s="133">
        <f>F98-січень!F98</f>
        <v>1.7644199999999999</v>
      </c>
      <c r="V98" s="139">
        <f>G98-січень!G98</f>
        <v>0.24</v>
      </c>
      <c r="W98" s="138">
        <f t="shared" si="34"/>
        <v>-1.5244199999999999</v>
      </c>
      <c r="X98" s="172">
        <f>V98/U98</f>
        <v>0.1360220355697623</v>
      </c>
      <c r="Y98" s="264">
        <f t="shared" si="16"/>
        <v>5.194475609000185</v>
      </c>
    </row>
    <row r="99" spans="2:25" ht="18" hidden="1">
      <c r="B99" s="100"/>
      <c r="C99" s="38">
        <v>21110000</v>
      </c>
      <c r="D99" s="341"/>
      <c r="E99" s="146">
        <v>0</v>
      </c>
      <c r="F99" s="146">
        <v>0</v>
      </c>
      <c r="G99" s="147"/>
      <c r="H99" s="133" t="e">
        <f>#N/A</f>
        <v>#N/A</v>
      </c>
      <c r="I99" s="280"/>
      <c r="J99" s="138" t="e">
        <f>#N/A</f>
        <v>#N/A</v>
      </c>
      <c r="K99" s="172"/>
      <c r="L99" s="138"/>
      <c r="M99" s="138"/>
      <c r="N99" s="138"/>
      <c r="O99" s="138"/>
      <c r="P99" s="138"/>
      <c r="Q99" s="172"/>
      <c r="R99" s="138">
        <v>18.76</v>
      </c>
      <c r="S99" s="152" t="e">
        <f>#N/A</f>
        <v>#N/A</v>
      </c>
      <c r="T99" s="172">
        <f t="shared" si="30"/>
        <v>0</v>
      </c>
      <c r="U99" s="135" t="e">
        <f>F99-#REF!</f>
        <v>#REF!</v>
      </c>
      <c r="V99" s="139" t="e">
        <f>G99-#REF!</f>
        <v>#REF!</v>
      </c>
      <c r="W99" s="138" t="e">
        <f>#N/A</f>
        <v>#N/A</v>
      </c>
      <c r="X99" s="172"/>
      <c r="Y99" s="264">
        <f t="shared" si="16"/>
        <v>0</v>
      </c>
    </row>
    <row r="100" spans="2:25" ht="23.25" customHeight="1">
      <c r="B100" s="231" t="s">
        <v>30</v>
      </c>
      <c r="C100" s="232"/>
      <c r="D100" s="233">
        <f>D86+D87+D92+D97+D98</f>
        <v>52585.413</v>
      </c>
      <c r="E100" s="233">
        <f>E86+E87+E92+E97+E98</f>
        <v>52585.413</v>
      </c>
      <c r="F100" s="233">
        <f>F86+F87+F92+F97+F98</f>
        <v>7650.639</v>
      </c>
      <c r="G100" s="233">
        <f>G86+G87+G92+G97+G98</f>
        <v>1594.0099999999998</v>
      </c>
      <c r="H100" s="234">
        <f>G100-F100</f>
        <v>-6056.629000000001</v>
      </c>
      <c r="I100" s="284">
        <f>G100/F100</f>
        <v>0.2083499169154367</v>
      </c>
      <c r="J100" s="227">
        <f>G100-E100</f>
        <v>-50991.403</v>
      </c>
      <c r="K100" s="228">
        <f>G100/E100</f>
        <v>0.03031277894498993</v>
      </c>
      <c r="L100" s="227"/>
      <c r="M100" s="227"/>
      <c r="N100" s="227"/>
      <c r="O100" s="227">
        <v>34561.77</v>
      </c>
      <c r="P100" s="227">
        <f>E100-O100</f>
        <v>18023.643000000004</v>
      </c>
      <c r="Q100" s="228">
        <f>E100/O100</f>
        <v>1.5214907396235784</v>
      </c>
      <c r="R100" s="233">
        <v>117.03</v>
      </c>
      <c r="S100" s="227">
        <f>G100-R100</f>
        <v>1476.9799999999998</v>
      </c>
      <c r="T100" s="228">
        <f t="shared" si="30"/>
        <v>13.620524651798682</v>
      </c>
      <c r="U100" s="233">
        <f>U86+U87+U92+U97+U98</f>
        <v>6206.76442</v>
      </c>
      <c r="V100" s="233">
        <f>V86+V87+V92+V97+V98</f>
        <v>149.60999999999984</v>
      </c>
      <c r="W100" s="227">
        <f>V100-U100</f>
        <v>-6057.154420000001</v>
      </c>
      <c r="X100" s="228">
        <f>V100/U100</f>
        <v>0.02410434646398257</v>
      </c>
      <c r="Y100" s="264">
        <f>T100-Q100</f>
        <v>12.099033912175104</v>
      </c>
    </row>
    <row r="101" spans="2:25" ht="17.25">
      <c r="B101" s="235" t="s">
        <v>122</v>
      </c>
      <c r="C101" s="232"/>
      <c r="D101" s="363">
        <f>D79+D100</f>
        <v>1680503.113</v>
      </c>
      <c r="E101" s="233">
        <f>E79+E100</f>
        <v>1680503.113</v>
      </c>
      <c r="F101" s="233">
        <f>F79+F100</f>
        <v>244054.29600000003</v>
      </c>
      <c r="G101" s="233">
        <f>G79+G100</f>
        <v>173263.16999999998</v>
      </c>
      <c r="H101" s="234">
        <f>G101-F101</f>
        <v>-70791.12600000005</v>
      </c>
      <c r="I101" s="284">
        <f>G101/F101</f>
        <v>0.7099369805807473</v>
      </c>
      <c r="J101" s="227">
        <f>G101-E101</f>
        <v>-1507239.943</v>
      </c>
      <c r="K101" s="228">
        <f>G101/E101</f>
        <v>0.10310196313215636</v>
      </c>
      <c r="L101" s="227"/>
      <c r="M101" s="227"/>
      <c r="N101" s="227"/>
      <c r="O101" s="227">
        <f>O79+O100</f>
        <v>1433558.23</v>
      </c>
      <c r="P101" s="227">
        <f>E101-O101</f>
        <v>246944.8829999999</v>
      </c>
      <c r="Q101" s="228">
        <f>E101/O101</f>
        <v>1.1722600992636343</v>
      </c>
      <c r="R101" s="227">
        <f>R79+R100</f>
        <v>203643.4</v>
      </c>
      <c r="S101" s="227">
        <f>S79+S100</f>
        <v>-30380.23000000002</v>
      </c>
      <c r="T101" s="228">
        <f t="shared" si="30"/>
        <v>0.8508165253575612</v>
      </c>
      <c r="U101" s="234">
        <f>U79+U100</f>
        <v>127331.87242000001</v>
      </c>
      <c r="V101" s="234">
        <f>V79+V100</f>
        <v>56540.22999999999</v>
      </c>
      <c r="W101" s="227">
        <f>V101-U101</f>
        <v>-70791.64242000002</v>
      </c>
      <c r="X101" s="228">
        <f>V101/U101</f>
        <v>0.44403831440963887</v>
      </c>
      <c r="Y101" s="264">
        <f>T101-Q101</f>
        <v>-0.32144357390607303</v>
      </c>
    </row>
    <row r="102" spans="2:25" ht="15">
      <c r="B102" s="19" t="s">
        <v>32</v>
      </c>
      <c r="V102" s="24"/>
      <c r="Y102" s="264"/>
    </row>
    <row r="103" spans="2:25" ht="15">
      <c r="B103" s="4" t="s">
        <v>34</v>
      </c>
      <c r="C103" s="71">
        <v>10</v>
      </c>
      <c r="D103" s="71"/>
      <c r="E103" s="4" t="s">
        <v>33</v>
      </c>
      <c r="V103" s="73"/>
      <c r="Y103" s="264"/>
    </row>
    <row r="104" spans="2:25" ht="30.75">
      <c r="B104" s="47" t="s">
        <v>51</v>
      </c>
      <c r="C104" s="26">
        <f>IF(W79&lt;0,ABS(W79/C103),0)</f>
        <v>6473.448800000002</v>
      </c>
      <c r="D104" s="26"/>
      <c r="E104" s="4" t="s">
        <v>24</v>
      </c>
      <c r="F104" s="26">
        <f>F98+F97+F92</f>
        <v>7650.639</v>
      </c>
      <c r="H104" s="390"/>
      <c r="I104" s="390"/>
      <c r="J104" s="390"/>
      <c r="K104" s="390"/>
      <c r="L104" s="79"/>
      <c r="M104" s="79"/>
      <c r="N104" s="79"/>
      <c r="O104" s="79"/>
      <c r="P104" s="79"/>
      <c r="Q104" s="244"/>
      <c r="R104" s="79"/>
      <c r="S104" s="79"/>
      <c r="T104" s="79"/>
      <c r="X104" s="24"/>
      <c r="Y104" s="264"/>
    </row>
    <row r="105" spans="2:25" ht="34.5" customHeight="1">
      <c r="B105" s="48" t="s">
        <v>53</v>
      </c>
      <c r="C105" s="76">
        <v>43145</v>
      </c>
      <c r="D105" s="76"/>
      <c r="E105" s="26">
        <v>9466.13</v>
      </c>
      <c r="H105" s="4" t="s">
        <v>56</v>
      </c>
      <c r="V105" s="378"/>
      <c r="W105" s="378"/>
      <c r="Y105" s="264"/>
    </row>
    <row r="106" spans="3:25" ht="15">
      <c r="C106" s="76">
        <v>43144</v>
      </c>
      <c r="D106" s="76"/>
      <c r="E106" s="26">
        <v>4131</v>
      </c>
      <c r="H106" s="374"/>
      <c r="I106" s="374"/>
      <c r="J106" s="96"/>
      <c r="K106" s="224"/>
      <c r="L106" s="224"/>
      <c r="M106" s="224"/>
      <c r="N106" s="224"/>
      <c r="O106" s="224"/>
      <c r="P106" s="224"/>
      <c r="Q106" s="245"/>
      <c r="R106" s="224"/>
      <c r="S106" s="224"/>
      <c r="T106" s="224"/>
      <c r="U106" s="224"/>
      <c r="V106" s="378"/>
      <c r="W106" s="378"/>
      <c r="Y106" s="264"/>
    </row>
    <row r="107" spans="3:25" ht="15.75" customHeight="1">
      <c r="C107" s="76">
        <v>43143</v>
      </c>
      <c r="D107" s="76"/>
      <c r="E107" s="26">
        <v>6887.7</v>
      </c>
      <c r="H107" s="374"/>
      <c r="I107" s="374"/>
      <c r="J107" s="96"/>
      <c r="K107" s="225"/>
      <c r="L107" s="225"/>
      <c r="M107" s="225"/>
      <c r="N107" s="225"/>
      <c r="O107" s="225"/>
      <c r="P107" s="225"/>
      <c r="Q107" s="246"/>
      <c r="R107" s="225"/>
      <c r="S107" s="225"/>
      <c r="T107" s="225"/>
      <c r="U107" s="225"/>
      <c r="V107" s="378"/>
      <c r="W107" s="378"/>
      <c r="Y107" s="264"/>
    </row>
    <row r="108" spans="3:25" ht="15.75" customHeight="1">
      <c r="C108" s="76"/>
      <c r="D108" s="76"/>
      <c r="G108" s="63"/>
      <c r="H108" s="379"/>
      <c r="I108" s="379"/>
      <c r="J108" s="102"/>
      <c r="K108" s="224"/>
      <c r="L108" s="224"/>
      <c r="M108" s="224"/>
      <c r="N108" s="224"/>
      <c r="O108" s="224"/>
      <c r="P108" s="224"/>
      <c r="Q108" s="245"/>
      <c r="R108" s="224"/>
      <c r="S108" s="224"/>
      <c r="T108" s="224"/>
      <c r="U108" s="224"/>
      <c r="Y108" s="264"/>
    </row>
    <row r="109" spans="2:25" ht="18" customHeight="1">
      <c r="B109" s="372" t="s">
        <v>54</v>
      </c>
      <c r="C109" s="373"/>
      <c r="D109" s="337"/>
      <c r="E109" s="110">
        <v>5.41293</v>
      </c>
      <c r="F109" s="64"/>
      <c r="G109" s="103" t="s">
        <v>99</v>
      </c>
      <c r="H109" s="374"/>
      <c r="I109" s="374"/>
      <c r="J109" s="104"/>
      <c r="K109" s="224"/>
      <c r="L109" s="224"/>
      <c r="M109" s="224"/>
      <c r="N109" s="224"/>
      <c r="O109" s="224"/>
      <c r="P109" s="224"/>
      <c r="Q109" s="245"/>
      <c r="R109" s="224"/>
      <c r="S109" s="224"/>
      <c r="T109" s="224"/>
      <c r="U109" s="224"/>
      <c r="Y109" s="264"/>
    </row>
    <row r="110" spans="7:25" ht="9.75" customHeight="1">
      <c r="G110" s="63"/>
      <c r="H110" s="374"/>
      <c r="I110" s="374"/>
      <c r="J110" s="63"/>
      <c r="K110" s="64"/>
      <c r="L110" s="64"/>
      <c r="M110" s="64"/>
      <c r="N110" s="64"/>
      <c r="O110" s="64"/>
      <c r="P110" s="64"/>
      <c r="Q110" s="247"/>
      <c r="R110" s="64"/>
      <c r="S110" s="64"/>
      <c r="T110" s="64"/>
      <c r="Y110" s="264"/>
    </row>
    <row r="111" spans="2:25" ht="22.5" customHeight="1" hidden="1">
      <c r="B111" s="375" t="s">
        <v>57</v>
      </c>
      <c r="C111" s="376"/>
      <c r="D111" s="338"/>
      <c r="E111" s="75">
        <v>0</v>
      </c>
      <c r="F111" s="46" t="s">
        <v>24</v>
      </c>
      <c r="G111" s="63"/>
      <c r="H111" s="374"/>
      <c r="I111" s="374"/>
      <c r="J111" s="63"/>
      <c r="K111" s="64"/>
      <c r="L111" s="64"/>
      <c r="M111" s="64"/>
      <c r="N111" s="64"/>
      <c r="O111" s="64"/>
      <c r="P111" s="64"/>
      <c r="Q111" s="247"/>
      <c r="R111" s="303"/>
      <c r="S111" s="303"/>
      <c r="T111" s="303"/>
      <c r="U111" s="3"/>
      <c r="V111" s="3"/>
      <c r="W111" s="3"/>
      <c r="X111" s="3"/>
      <c r="Y111" s="264"/>
    </row>
    <row r="112" spans="2:25" ht="15" hidden="1">
      <c r="B112" s="220" t="s">
        <v>125</v>
      </c>
      <c r="E112" s="63">
        <f>E60+E63+E64</f>
        <v>2095</v>
      </c>
      <c r="F112" s="63">
        <f>F60+F63+F64</f>
        <v>309</v>
      </c>
      <c r="G112" s="166">
        <f>G60+G63+G64</f>
        <v>225.62</v>
      </c>
      <c r="H112" s="63">
        <f>H60+H63+H64</f>
        <v>-83.38</v>
      </c>
      <c r="I112" s="64"/>
      <c r="J112" s="64"/>
      <c r="R112" s="3"/>
      <c r="S112" s="3"/>
      <c r="T112" s="3"/>
      <c r="U112" s="94"/>
      <c r="V112" s="94"/>
      <c r="W112" s="94"/>
      <c r="X112" s="3"/>
      <c r="Y112" s="264"/>
    </row>
    <row r="113" spans="5:25" ht="15" hidden="1">
      <c r="E113" s="73"/>
      <c r="J113" s="26"/>
      <c r="R113" s="3"/>
      <c r="S113" s="3"/>
      <c r="T113" s="3"/>
      <c r="U113" s="3"/>
      <c r="V113" s="377"/>
      <c r="W113" s="377"/>
      <c r="X113" s="3"/>
      <c r="Y113" s="264"/>
    </row>
    <row r="114" spans="2:25" ht="15" hidden="1">
      <c r="B114" s="4" t="s">
        <v>109</v>
      </c>
      <c r="E114" s="26">
        <f>E9+E15+E18+E19+E23+E54+E57+E77+E71</f>
        <v>1583334.8</v>
      </c>
      <c r="F114" s="26">
        <f>F9+F15+F18+F19+F23+F54+F57+F77+F71</f>
        <v>229578.719</v>
      </c>
      <c r="G114" s="189">
        <f>G9+G15+G18+G19+G23+G54+G57+G77+G71</f>
        <v>166195.51999999996</v>
      </c>
      <c r="H114" s="26">
        <f>G114-F114</f>
        <v>-63383.19900000005</v>
      </c>
      <c r="I114" s="190">
        <f>G114/F114</f>
        <v>0.7239151813544179</v>
      </c>
      <c r="J114" s="26">
        <f>G114-E114</f>
        <v>-1417139.28</v>
      </c>
      <c r="K114" s="190">
        <f>G114/E114</f>
        <v>0.10496549434775257</v>
      </c>
      <c r="L114" s="190"/>
      <c r="M114" s="190"/>
      <c r="N114" s="190"/>
      <c r="O114" s="190"/>
      <c r="P114" s="190"/>
      <c r="R114" s="3"/>
      <c r="S114" s="3"/>
      <c r="T114" s="3"/>
      <c r="U114" s="94"/>
      <c r="V114" s="94"/>
      <c r="W114" s="94"/>
      <c r="X114" s="334"/>
      <c r="Y114" s="264"/>
    </row>
    <row r="115" spans="2:25" ht="15" hidden="1">
      <c r="B115" s="4" t="s">
        <v>110</v>
      </c>
      <c r="E115" s="26">
        <f>E55+E56+E58+E60+E62+E63+E64+E65+E66+E72+E76+E59+E78</f>
        <v>44582.9</v>
      </c>
      <c r="F115" s="26">
        <f>F55+F56+F58+F60+F62+F63+F64+F65+F66+F72+F76+F59+F78</f>
        <v>6824.938</v>
      </c>
      <c r="G115" s="189">
        <f>G55+G56+G58+G60+G62+G63+G64+G65+G66+G72+G76+G59+G78</f>
        <v>5473.64</v>
      </c>
      <c r="H115" s="26">
        <f>H55+H56+H58+H60+H62+H63+H64+H65+H66+H72+H76+H59</f>
        <v>-1351.4080000000001</v>
      </c>
      <c r="I115" s="190">
        <f>G115/F115</f>
        <v>0.8020058204191746</v>
      </c>
      <c r="J115" s="26">
        <f>J55+J56+J58+J60+J62+J63+J64+J65+J66+J72+J76+J59</f>
        <v>-39109.37</v>
      </c>
      <c r="K115" s="190">
        <f>G115/E115</f>
        <v>0.12277442696639294</v>
      </c>
      <c r="L115" s="190"/>
      <c r="M115" s="190"/>
      <c r="N115" s="190"/>
      <c r="O115" s="190"/>
      <c r="P115" s="190"/>
      <c r="R115" s="94"/>
      <c r="S115" s="94"/>
      <c r="T115" s="94"/>
      <c r="U115" s="94"/>
      <c r="V115" s="94"/>
      <c r="W115" s="94"/>
      <c r="X115" s="334"/>
      <c r="Y115" s="264"/>
    </row>
    <row r="116" spans="2:25" ht="15" hidden="1">
      <c r="B116" s="4" t="s">
        <v>111</v>
      </c>
      <c r="E116" s="26">
        <f>SUM(E114:E115)</f>
        <v>1627917.7</v>
      </c>
      <c r="F116" s="26">
        <f>SUM(F114:F115)</f>
        <v>236403.657</v>
      </c>
      <c r="G116" s="26">
        <f>SUM(G114:G115)</f>
        <v>171669.15999999997</v>
      </c>
      <c r="H116" s="26">
        <f>SUM(H114:H115)</f>
        <v>-64734.607000000055</v>
      </c>
      <c r="I116" s="190">
        <f>G116/F116</f>
        <v>0.7261696463519597</v>
      </c>
      <c r="J116" s="26">
        <f>SUM(J114:J115)</f>
        <v>-1456248.6500000001</v>
      </c>
      <c r="K116" s="190">
        <f>G116/E116</f>
        <v>0.10545321793601727</v>
      </c>
      <c r="L116" s="190"/>
      <c r="M116" s="190"/>
      <c r="N116" s="190"/>
      <c r="O116" s="190"/>
      <c r="P116" s="190"/>
      <c r="R116" s="94"/>
      <c r="S116" s="94"/>
      <c r="T116" s="94"/>
      <c r="U116" s="94"/>
      <c r="V116" s="94"/>
      <c r="W116" s="94"/>
      <c r="X116" s="334"/>
      <c r="Y116" s="264"/>
    </row>
    <row r="117" spans="5:25" ht="15" hidden="1">
      <c r="E117" s="26">
        <f>E79-E116</f>
        <v>0</v>
      </c>
      <c r="F117" s="26" t="e">
        <f>#N/A</f>
        <v>#N/A</v>
      </c>
      <c r="G117" s="26" t="e">
        <f>#N/A</f>
        <v>#N/A</v>
      </c>
      <c r="H117" s="26" t="e">
        <f>#N/A</f>
        <v>#N/A</v>
      </c>
      <c r="I117" s="190"/>
      <c r="J117" s="26" t="e">
        <f>#N/A</f>
        <v>#N/A</v>
      </c>
      <c r="K117" s="190"/>
      <c r="L117" s="190"/>
      <c r="M117" s="190"/>
      <c r="N117" s="190"/>
      <c r="O117" s="190"/>
      <c r="P117" s="190"/>
      <c r="R117" s="94"/>
      <c r="S117" s="94"/>
      <c r="T117" s="94"/>
      <c r="U117" s="94"/>
      <c r="V117" s="94"/>
      <c r="W117" s="94"/>
      <c r="X117" s="94"/>
      <c r="Y117" s="264"/>
    </row>
    <row r="118" spans="6:25" ht="15" hidden="1">
      <c r="F118" s="4" t="s">
        <v>56</v>
      </c>
      <c r="R118" s="3"/>
      <c r="S118" s="3"/>
      <c r="T118" s="3"/>
      <c r="U118" s="3"/>
      <c r="V118" s="3"/>
      <c r="W118" s="3"/>
      <c r="X118" s="3"/>
      <c r="Y118" s="264"/>
    </row>
    <row r="119" spans="2:25" ht="15" hidden="1">
      <c r="B119" s="202" t="s">
        <v>116</v>
      </c>
      <c r="F119" s="26">
        <f>F79-F9-F20-F35-F47</f>
        <v>12584.678000000029</v>
      </c>
      <c r="Y119" s="264"/>
    </row>
    <row r="120" spans="2:25" ht="15" hidden="1">
      <c r="B120" s="202" t="s">
        <v>117</v>
      </c>
      <c r="F120" s="26">
        <f>F100-F95-F88-F89</f>
        <v>3010.46</v>
      </c>
      <c r="Y120" s="264"/>
    </row>
    <row r="121" ht="15" hidden="1">
      <c r="Y121" s="264"/>
    </row>
    <row r="122" spans="2:25" ht="18" hidden="1">
      <c r="B122" s="100" t="s">
        <v>112</v>
      </c>
      <c r="C122" s="38">
        <v>25000000</v>
      </c>
      <c r="D122" s="38"/>
      <c r="E122" s="146">
        <v>72408.22</v>
      </c>
      <c r="F122" s="146">
        <v>18102.06</v>
      </c>
      <c r="G122" s="147">
        <v>20254.32</v>
      </c>
      <c r="H122" s="133">
        <f>G122-F122</f>
        <v>2152.2599999999984</v>
      </c>
      <c r="I122" s="135">
        <f>G122/F122*100</f>
        <v>111.88958604711286</v>
      </c>
      <c r="J122" s="138">
        <f>G122-E122</f>
        <v>-52153.9</v>
      </c>
      <c r="K122" s="138">
        <f>G122/E122*100</f>
        <v>27.972404238082362</v>
      </c>
      <c r="L122" s="138"/>
      <c r="M122" s="138"/>
      <c r="N122" s="138"/>
      <c r="O122" s="138"/>
      <c r="P122" s="138"/>
      <c r="Q122" s="172"/>
      <c r="R122" s="138"/>
      <c r="S122" s="138"/>
      <c r="T122" s="209"/>
      <c r="U122" s="207"/>
      <c r="V122" s="207"/>
      <c r="W122" s="208"/>
      <c r="X122" s="208"/>
      <c r="Y122" s="264"/>
    </row>
    <row r="123" spans="2:25" ht="23.25" customHeight="1" hidden="1">
      <c r="B123" s="13" t="s">
        <v>30</v>
      </c>
      <c r="C123" s="61"/>
      <c r="D123" s="61"/>
      <c r="E123" s="156">
        <f>E100+E122</f>
        <v>124993.633</v>
      </c>
      <c r="F123" s="156">
        <f>F100+F122</f>
        <v>25752.699</v>
      </c>
      <c r="G123" s="156">
        <f>G100+G122</f>
        <v>21848.329999999998</v>
      </c>
      <c r="H123" s="157">
        <f>G123-F123</f>
        <v>-3904.3690000000024</v>
      </c>
      <c r="I123" s="158">
        <f>G123/F123*100</f>
        <v>84.83899105099624</v>
      </c>
      <c r="J123" s="159">
        <f>G123-E123</f>
        <v>-103145.303</v>
      </c>
      <c r="K123" s="159">
        <f>G123/E123*100</f>
        <v>17.47955433857979</v>
      </c>
      <c r="L123" s="159"/>
      <c r="M123" s="159"/>
      <c r="N123" s="159"/>
      <c r="O123" s="159"/>
      <c r="P123" s="159"/>
      <c r="Q123" s="182"/>
      <c r="R123" s="159">
        <v>3039.87</v>
      </c>
      <c r="S123" s="159">
        <f>G123-R123</f>
        <v>18808.46</v>
      </c>
      <c r="T123" s="210">
        <f>G123/R123</f>
        <v>7.187258007743752</v>
      </c>
      <c r="U123" s="211"/>
      <c r="V123" s="211"/>
      <c r="W123" s="212"/>
      <c r="X123" s="212"/>
      <c r="Y123" s="264"/>
    </row>
    <row r="124" spans="2:25" ht="17.25" hidden="1">
      <c r="B124" s="20" t="s">
        <v>121</v>
      </c>
      <c r="C124" s="61"/>
      <c r="D124" s="61"/>
      <c r="E124" s="156">
        <f>E123+E79</f>
        <v>1752911.3329999999</v>
      </c>
      <c r="F124" s="156">
        <f>F123+F79</f>
        <v>262156.356</v>
      </c>
      <c r="G124" s="156">
        <f>G123+G79</f>
        <v>193517.48999999996</v>
      </c>
      <c r="H124" s="157">
        <f>G124-F124</f>
        <v>-68638.86600000007</v>
      </c>
      <c r="I124" s="158">
        <f>G124/F124*100</f>
        <v>73.81758464784274</v>
      </c>
      <c r="J124" s="159">
        <f>G124-E124</f>
        <v>-1559393.8429999999</v>
      </c>
      <c r="K124" s="159">
        <f>G124/E124*100</f>
        <v>11.039776305673527</v>
      </c>
      <c r="L124" s="159"/>
      <c r="M124" s="159"/>
      <c r="N124" s="159"/>
      <c r="O124" s="159"/>
      <c r="P124" s="159"/>
      <c r="Q124" s="182"/>
      <c r="R124" s="159">
        <f>R101+R123</f>
        <v>206683.27</v>
      </c>
      <c r="S124" s="159">
        <f>G124-R124</f>
        <v>-13165.780000000028</v>
      </c>
      <c r="T124" s="210">
        <f>G124/R124</f>
        <v>0.9362997305006834</v>
      </c>
      <c r="U124" s="213"/>
      <c r="V124" s="213"/>
      <c r="W124" s="212"/>
      <c r="X124" s="212"/>
      <c r="Y124" s="264"/>
    </row>
    <row r="125" spans="2:25" ht="15" hidden="1">
      <c r="B125" s="198" t="s">
        <v>123</v>
      </c>
      <c r="C125" s="196">
        <v>40000000</v>
      </c>
      <c r="D125" s="196"/>
      <c r="E125" s="201" t="e">
        <f>#N/A</f>
        <v>#N/A</v>
      </c>
      <c r="F125" s="201" t="e">
        <f>#N/A</f>
        <v>#N/A</v>
      </c>
      <c r="G125" s="201" t="e">
        <f>#N/A</f>
        <v>#N/A</v>
      </c>
      <c r="H125" s="201" t="e">
        <f>#N/A</f>
        <v>#N/A</v>
      </c>
      <c r="I125" s="201" t="e">
        <f>G125/F125*100</f>
        <v>#N/A</v>
      </c>
      <c r="J125" s="33" t="e">
        <f>#N/A</f>
        <v>#N/A</v>
      </c>
      <c r="K125" s="33" t="e">
        <f>G125/E125*100</f>
        <v>#N/A</v>
      </c>
      <c r="L125" s="237"/>
      <c r="M125" s="237"/>
      <c r="N125" s="237"/>
      <c r="O125" s="237"/>
      <c r="P125" s="237"/>
      <c r="Q125" s="248"/>
      <c r="X125" s="81"/>
      <c r="Y125" s="264"/>
    </row>
    <row r="126" spans="2:25" ht="26.25" hidden="1">
      <c r="B126" s="197" t="s">
        <v>114</v>
      </c>
      <c r="C126" s="196">
        <v>41033900</v>
      </c>
      <c r="D126" s="196"/>
      <c r="E126" s="201">
        <v>243334.5</v>
      </c>
      <c r="F126" s="201">
        <v>56191.6</v>
      </c>
      <c r="G126" s="201">
        <v>56191.6</v>
      </c>
      <c r="H126" s="201" t="e">
        <f>#N/A</f>
        <v>#N/A</v>
      </c>
      <c r="I126" s="201" t="e">
        <f>#N/A</f>
        <v>#N/A</v>
      </c>
      <c r="J126" s="33" t="e">
        <f>#N/A</f>
        <v>#N/A</v>
      </c>
      <c r="K126" s="33" t="e">
        <f>#N/A</f>
        <v>#N/A</v>
      </c>
      <c r="L126" s="237"/>
      <c r="M126" s="237"/>
      <c r="N126" s="237"/>
      <c r="O126" s="237"/>
      <c r="P126" s="237"/>
      <c r="Q126" s="248"/>
      <c r="X126" s="81"/>
      <c r="Y126" s="264"/>
    </row>
    <row r="127" spans="2:25" ht="26.25" hidden="1">
      <c r="B127" s="197" t="s">
        <v>115</v>
      </c>
      <c r="C127" s="196">
        <v>41034200</v>
      </c>
      <c r="D127" s="196"/>
      <c r="E127" s="201">
        <v>238249.5</v>
      </c>
      <c r="F127" s="201">
        <v>59541.9</v>
      </c>
      <c r="G127" s="201">
        <v>59541.9</v>
      </c>
      <c r="H127" s="201" t="e">
        <f>#N/A</f>
        <v>#N/A</v>
      </c>
      <c r="I127" s="201" t="e">
        <f>#N/A</f>
        <v>#N/A</v>
      </c>
      <c r="J127" s="33" t="e">
        <f>#N/A</f>
        <v>#N/A</v>
      </c>
      <c r="K127" s="33" t="e">
        <f>#N/A</f>
        <v>#N/A</v>
      </c>
      <c r="L127" s="237"/>
      <c r="M127" s="237"/>
      <c r="N127" s="237"/>
      <c r="O127" s="237"/>
      <c r="P127" s="237"/>
      <c r="Q127" s="248"/>
      <c r="X127" s="81"/>
      <c r="Y127" s="264"/>
    </row>
    <row r="128" spans="2:25" s="199" customFormat="1" ht="25.5" customHeight="1" hidden="1">
      <c r="B128" s="214" t="s">
        <v>113</v>
      </c>
      <c r="C128" s="215"/>
      <c r="D128" s="215"/>
      <c r="E128" s="216" t="e">
        <f>E124+E125</f>
        <v>#N/A</v>
      </c>
      <c r="F128" s="216" t="e">
        <f>F124+F125</f>
        <v>#N/A</v>
      </c>
      <c r="G128" s="216" t="e">
        <f>G124+G125</f>
        <v>#N/A</v>
      </c>
      <c r="H128" s="217" t="e">
        <f>#N/A</f>
        <v>#N/A</v>
      </c>
      <c r="I128" s="216" t="e">
        <f>#N/A</f>
        <v>#N/A</v>
      </c>
      <c r="J128" s="218" t="e">
        <f>#N/A</f>
        <v>#N/A</v>
      </c>
      <c r="K128" s="218" t="e">
        <f>#N/A</f>
        <v>#N/A</v>
      </c>
      <c r="L128" s="238"/>
      <c r="M128" s="238"/>
      <c r="N128" s="238"/>
      <c r="O128" s="238"/>
      <c r="P128" s="238"/>
      <c r="Q128" s="249"/>
      <c r="X128" s="200"/>
      <c r="Y128" s="264"/>
    </row>
    <row r="129" ht="15" hidden="1">
      <c r="Y129" s="264"/>
    </row>
    <row r="130" ht="15" hidden="1">
      <c r="Y130" s="264"/>
    </row>
    <row r="131" ht="15" hidden="1">
      <c r="Y131" s="264"/>
    </row>
    <row r="132" ht="15" hidden="1">
      <c r="Y132" s="264"/>
    </row>
    <row r="133" ht="15" hidden="1">
      <c r="Y133" s="264"/>
    </row>
    <row r="134" ht="15" hidden="1">
      <c r="Y134" s="264"/>
    </row>
    <row r="135" spans="2:25" ht="15" hidden="1">
      <c r="B135" s="261" t="s">
        <v>145</v>
      </c>
      <c r="Y135" s="264"/>
    </row>
    <row r="136" spans="1:25" s="6" customFormat="1" ht="30.75" customHeight="1" hidden="1">
      <c r="A136" s="8"/>
      <c r="B136" s="252" t="str">
        <f>B17</f>
        <v>Рентна плата за спеціальне використання лісових ресурсів</v>
      </c>
      <c r="C136" s="296">
        <f>C17</f>
        <v>13010200</v>
      </c>
      <c r="D136" s="296"/>
      <c r="E136" s="312">
        <f aca="true" t="shared" si="36" ref="E136:T137">E17</f>
        <v>0</v>
      </c>
      <c r="F136" s="312">
        <f t="shared" si="36"/>
        <v>0</v>
      </c>
      <c r="G136" s="314">
        <f t="shared" si="36"/>
        <v>0</v>
      </c>
      <c r="H136" s="312">
        <f t="shared" si="36"/>
        <v>0</v>
      </c>
      <c r="I136" s="323">
        <f t="shared" si="36"/>
        <v>0</v>
      </c>
      <c r="J136" s="322">
        <f t="shared" si="36"/>
        <v>0</v>
      </c>
      <c r="K136" s="323">
        <f t="shared" si="36"/>
        <v>0</v>
      </c>
      <c r="L136" s="185">
        <f t="shared" si="36"/>
        <v>0</v>
      </c>
      <c r="M136" s="185">
        <f t="shared" si="36"/>
        <v>0</v>
      </c>
      <c r="N136" s="185">
        <f t="shared" si="36"/>
        <v>0</v>
      </c>
      <c r="O136" s="322">
        <f t="shared" si="36"/>
        <v>0.49</v>
      </c>
      <c r="P136" s="322">
        <f t="shared" si="36"/>
        <v>-0.49</v>
      </c>
      <c r="Q136" s="323">
        <f t="shared" si="36"/>
        <v>0</v>
      </c>
      <c r="R136" s="322">
        <f t="shared" si="36"/>
        <v>0</v>
      </c>
      <c r="S136" s="321">
        <f t="shared" si="36"/>
        <v>0</v>
      </c>
      <c r="T136" s="323" t="e">
        <f t="shared" si="36"/>
        <v>#DIV/0!</v>
      </c>
      <c r="U136" s="299"/>
      <c r="V136" s="299"/>
      <c r="W136" s="299"/>
      <c r="X136" s="299"/>
      <c r="Y136" s="264" t="e">
        <f aca="true" t="shared" si="37" ref="Y136:Y145">T136-Q136</f>
        <v>#DIV/0!</v>
      </c>
    </row>
    <row r="137" spans="1:25" s="6" customFormat="1" ht="30.75" hidden="1">
      <c r="A137" s="8"/>
      <c r="B137" s="253" t="str">
        <f>B18</f>
        <v>Рентна плата за користування надрами для видобування корисних копалин місцевого значення</v>
      </c>
      <c r="C137" s="296">
        <f>C18</f>
        <v>13030200</v>
      </c>
      <c r="D137" s="296"/>
      <c r="E137" s="312">
        <f t="shared" si="36"/>
        <v>235.6</v>
      </c>
      <c r="F137" s="312">
        <f t="shared" si="36"/>
        <v>120</v>
      </c>
      <c r="G137" s="314">
        <f t="shared" si="36"/>
        <v>194.24</v>
      </c>
      <c r="H137" s="312">
        <f t="shared" si="36"/>
        <v>74.24000000000001</v>
      </c>
      <c r="I137" s="323">
        <f t="shared" si="36"/>
        <v>1.6186666666666667</v>
      </c>
      <c r="J137" s="312">
        <f t="shared" si="36"/>
        <v>-41.359999999999985</v>
      </c>
      <c r="K137" s="323">
        <f t="shared" si="36"/>
        <v>82.44482173174873</v>
      </c>
      <c r="L137" s="108">
        <f t="shared" si="36"/>
        <v>0</v>
      </c>
      <c r="M137" s="108">
        <f t="shared" si="36"/>
        <v>0</v>
      </c>
      <c r="N137" s="108">
        <f t="shared" si="36"/>
        <v>0</v>
      </c>
      <c r="O137" s="322">
        <f t="shared" si="36"/>
        <v>220.59</v>
      </c>
      <c r="P137" s="322">
        <f t="shared" si="36"/>
        <v>15.009999999999991</v>
      </c>
      <c r="Q137" s="323">
        <f t="shared" si="36"/>
        <v>1.0680447889750215</v>
      </c>
      <c r="R137" s="322">
        <f t="shared" si="36"/>
        <v>0</v>
      </c>
      <c r="S137" s="321">
        <f t="shared" si="36"/>
        <v>194.24</v>
      </c>
      <c r="T137" s="323" t="e">
        <f t="shared" si="36"/>
        <v>#DIV/0!</v>
      </c>
      <c r="U137" s="300"/>
      <c r="V137" s="300"/>
      <c r="W137" s="300"/>
      <c r="X137" s="300"/>
      <c r="Y137" s="264" t="e">
        <f t="shared" si="37"/>
        <v>#DIV/0!</v>
      </c>
    </row>
    <row r="138" spans="1:25" s="6" customFormat="1" ht="15" hidden="1">
      <c r="A138" s="8"/>
      <c r="B138" s="254" t="str">
        <f aca="true" t="shared" si="38" ref="B138:T141">B56</f>
        <v>Інші надходження (по актам ДФІУ)</v>
      </c>
      <c r="C138" s="297">
        <f t="shared" si="38"/>
        <v>21080500</v>
      </c>
      <c r="D138" s="297"/>
      <c r="E138" s="315">
        <f t="shared" si="38"/>
        <v>158</v>
      </c>
      <c r="F138" s="315">
        <f t="shared" si="38"/>
        <v>14</v>
      </c>
      <c r="G138" s="316">
        <f t="shared" si="38"/>
        <v>1.44</v>
      </c>
      <c r="H138" s="315">
        <f t="shared" si="38"/>
        <v>-12.56</v>
      </c>
      <c r="I138" s="324">
        <f t="shared" si="38"/>
        <v>0.10285714285714286</v>
      </c>
      <c r="J138" s="321">
        <f t="shared" si="38"/>
        <v>-156.56</v>
      </c>
      <c r="K138" s="324">
        <f t="shared" si="38"/>
        <v>0.009113924050632912</v>
      </c>
      <c r="L138" s="107">
        <f t="shared" si="38"/>
        <v>0</v>
      </c>
      <c r="M138" s="107">
        <f t="shared" si="38"/>
        <v>0</v>
      </c>
      <c r="N138" s="107">
        <f t="shared" si="38"/>
        <v>0</v>
      </c>
      <c r="O138" s="321">
        <f t="shared" si="38"/>
        <v>153.3</v>
      </c>
      <c r="P138" s="321">
        <f t="shared" si="38"/>
        <v>4.699999999999989</v>
      </c>
      <c r="Q138" s="324">
        <f t="shared" si="38"/>
        <v>1.030658838878017</v>
      </c>
      <c r="R138" s="321">
        <f t="shared" si="38"/>
        <v>57.08</v>
      </c>
      <c r="S138" s="321">
        <f t="shared" si="38"/>
        <v>-55.64</v>
      </c>
      <c r="T138" s="323">
        <f t="shared" si="38"/>
        <v>0.025227750525578137</v>
      </c>
      <c r="U138" s="299"/>
      <c r="V138" s="299"/>
      <c r="W138" s="299"/>
      <c r="X138" s="299"/>
      <c r="Y138" s="264">
        <f t="shared" si="37"/>
        <v>-1.0054310883524387</v>
      </c>
    </row>
    <row r="139" spans="1:25" s="6" customFormat="1" ht="30.75" hidden="1">
      <c r="A139" s="8"/>
      <c r="B139" s="255" t="str">
        <f t="shared" si="38"/>
        <v>Штрафні санкції за порушення законодавства про патентування</v>
      </c>
      <c r="C139" s="298">
        <f t="shared" si="38"/>
        <v>21080900</v>
      </c>
      <c r="D139" s="298"/>
      <c r="E139" s="317">
        <f t="shared" si="38"/>
        <v>13</v>
      </c>
      <c r="F139" s="317">
        <f t="shared" si="38"/>
        <v>3</v>
      </c>
      <c r="G139" s="318">
        <f t="shared" si="38"/>
        <v>2.02</v>
      </c>
      <c r="H139" s="317">
        <f t="shared" si="38"/>
        <v>-0.98</v>
      </c>
      <c r="I139" s="325">
        <f t="shared" si="38"/>
        <v>0.6733333333333333</v>
      </c>
      <c r="J139" s="317">
        <f t="shared" si="38"/>
        <v>-10.98</v>
      </c>
      <c r="K139" s="325">
        <f t="shared" si="38"/>
        <v>0.1553846153846154</v>
      </c>
      <c r="L139" s="195">
        <f t="shared" si="38"/>
        <v>0</v>
      </c>
      <c r="M139" s="195">
        <f t="shared" si="38"/>
        <v>0</v>
      </c>
      <c r="N139" s="195">
        <f t="shared" si="38"/>
        <v>0</v>
      </c>
      <c r="O139" s="326">
        <f t="shared" si="38"/>
        <v>12.95</v>
      </c>
      <c r="P139" s="326">
        <f t="shared" si="38"/>
        <v>0.05000000000000071</v>
      </c>
      <c r="Q139" s="325">
        <f t="shared" si="38"/>
        <v>1.0038610038610039</v>
      </c>
      <c r="R139" s="326">
        <f t="shared" si="38"/>
        <v>2.03</v>
      </c>
      <c r="S139" s="326">
        <f t="shared" si="38"/>
        <v>-0.009999999999999787</v>
      </c>
      <c r="T139" s="330">
        <f t="shared" si="38"/>
        <v>0</v>
      </c>
      <c r="U139" s="301"/>
      <c r="V139" s="301"/>
      <c r="W139" s="301"/>
      <c r="X139" s="301"/>
      <c r="Y139" s="264">
        <f t="shared" si="37"/>
        <v>-1.0038610038610039</v>
      </c>
    </row>
    <row r="140" spans="1:25" s="6" customFormat="1" ht="15" hidden="1">
      <c r="A140" s="8"/>
      <c r="B140" s="253" t="str">
        <f t="shared" si="38"/>
        <v>Адмінстративні штрафи та інші санкції</v>
      </c>
      <c r="C140" s="296">
        <f t="shared" si="38"/>
        <v>21081100</v>
      </c>
      <c r="D140" s="296"/>
      <c r="E140" s="312">
        <f t="shared" si="38"/>
        <v>744</v>
      </c>
      <c r="F140" s="312">
        <f t="shared" si="38"/>
        <v>88.43</v>
      </c>
      <c r="G140" s="314">
        <f t="shared" si="38"/>
        <v>33.84</v>
      </c>
      <c r="H140" s="312">
        <f t="shared" si="38"/>
        <v>-54.59</v>
      </c>
      <c r="I140" s="323">
        <f t="shared" si="38"/>
        <v>0.38267556259188057</v>
      </c>
      <c r="J140" s="312">
        <f t="shared" si="38"/>
        <v>-710.16</v>
      </c>
      <c r="K140" s="323">
        <f t="shared" si="38"/>
        <v>0.04548387096774194</v>
      </c>
      <c r="L140" s="108">
        <f t="shared" si="38"/>
        <v>0</v>
      </c>
      <c r="M140" s="108">
        <f t="shared" si="38"/>
        <v>0</v>
      </c>
      <c r="N140" s="108">
        <f t="shared" si="38"/>
        <v>0</v>
      </c>
      <c r="O140" s="322">
        <f t="shared" si="38"/>
        <v>705.31</v>
      </c>
      <c r="P140" s="322">
        <f t="shared" si="38"/>
        <v>38.690000000000055</v>
      </c>
      <c r="Q140" s="323">
        <f t="shared" si="38"/>
        <v>1.0548553118486907</v>
      </c>
      <c r="R140" s="322">
        <f t="shared" si="38"/>
        <v>82.08</v>
      </c>
      <c r="S140" s="321">
        <f t="shared" si="38"/>
        <v>-48.239999999999995</v>
      </c>
      <c r="T140" s="323">
        <f t="shared" si="38"/>
        <v>0.412280701754386</v>
      </c>
      <c r="U140" s="300"/>
      <c r="V140" s="300"/>
      <c r="W140" s="300"/>
      <c r="X140" s="300"/>
      <c r="Y140" s="264">
        <f t="shared" si="37"/>
        <v>-0.6425746100943047</v>
      </c>
    </row>
    <row r="141" spans="1:25" s="6" customFormat="1" ht="46.5" hidden="1">
      <c r="A141" s="8"/>
      <c r="B141" s="253" t="str">
        <f t="shared" si="38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296">
        <f t="shared" si="38"/>
        <v>21081500</v>
      </c>
      <c r="D141" s="296"/>
      <c r="E141" s="312">
        <f t="shared" si="38"/>
        <v>115.5</v>
      </c>
      <c r="F141" s="312">
        <f t="shared" si="38"/>
        <v>10</v>
      </c>
      <c r="G141" s="314">
        <f t="shared" si="38"/>
        <v>-8.08</v>
      </c>
      <c r="H141" s="312">
        <f t="shared" si="38"/>
        <v>-18.08</v>
      </c>
      <c r="I141" s="323">
        <f t="shared" si="38"/>
        <v>-0.808</v>
      </c>
      <c r="J141" s="312">
        <f t="shared" si="38"/>
        <v>-123.58</v>
      </c>
      <c r="K141" s="323">
        <f t="shared" si="38"/>
        <v>-0.06995670995670995</v>
      </c>
      <c r="L141" s="108">
        <f t="shared" si="38"/>
        <v>0</v>
      </c>
      <c r="M141" s="108">
        <f t="shared" si="38"/>
        <v>0</v>
      </c>
      <c r="N141" s="108">
        <f t="shared" si="38"/>
        <v>0</v>
      </c>
      <c r="O141" s="322">
        <f t="shared" si="38"/>
        <v>114.3</v>
      </c>
      <c r="P141" s="322">
        <f t="shared" si="38"/>
        <v>1.2000000000000028</v>
      </c>
      <c r="Q141" s="323">
        <f t="shared" si="38"/>
        <v>1.010498687664042</v>
      </c>
      <c r="R141" s="322">
        <f t="shared" si="38"/>
        <v>0</v>
      </c>
      <c r="S141" s="321">
        <f t="shared" si="38"/>
        <v>-8.08</v>
      </c>
      <c r="T141" s="323" t="e">
        <f t="shared" si="38"/>
        <v>#DIV/0!</v>
      </c>
      <c r="U141" s="300"/>
      <c r="V141" s="300"/>
      <c r="W141" s="300"/>
      <c r="X141" s="300"/>
      <c r="Y141" s="264" t="e">
        <f t="shared" si="37"/>
        <v>#DIV/0!</v>
      </c>
    </row>
    <row r="142" spans="1:25" s="6" customFormat="1" ht="46.5" hidden="1">
      <c r="A142" s="8"/>
      <c r="B142" s="253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296" t="str">
        <f>C71</f>
        <v>24030000</v>
      </c>
      <c r="D142" s="296"/>
      <c r="E142" s="312">
        <f aca="true" t="shared" si="39" ref="E142:T142">E71</f>
        <v>3</v>
      </c>
      <c r="F142" s="312">
        <f t="shared" si="39"/>
        <v>1.5</v>
      </c>
      <c r="G142" s="314">
        <f t="shared" si="39"/>
        <v>0</v>
      </c>
      <c r="H142" s="312">
        <f t="shared" si="39"/>
        <v>-1.5</v>
      </c>
      <c r="I142" s="323">
        <f t="shared" si="39"/>
        <v>0</v>
      </c>
      <c r="J142" s="312">
        <f t="shared" si="39"/>
        <v>-3</v>
      </c>
      <c r="K142" s="323">
        <f t="shared" si="39"/>
        <v>0</v>
      </c>
      <c r="L142" s="108">
        <f t="shared" si="39"/>
        <v>0</v>
      </c>
      <c r="M142" s="108">
        <f t="shared" si="39"/>
        <v>0</v>
      </c>
      <c r="N142" s="108">
        <f t="shared" si="39"/>
        <v>0</v>
      </c>
      <c r="O142" s="322">
        <f t="shared" si="39"/>
        <v>2.04</v>
      </c>
      <c r="P142" s="322">
        <f t="shared" si="39"/>
        <v>0.96</v>
      </c>
      <c r="Q142" s="323">
        <f t="shared" si="39"/>
        <v>1.4705882352941175</v>
      </c>
      <c r="R142" s="322">
        <f t="shared" si="39"/>
        <v>1.67</v>
      </c>
      <c r="S142" s="321">
        <f t="shared" si="39"/>
        <v>-1.67</v>
      </c>
      <c r="T142" s="323">
        <f t="shared" si="39"/>
        <v>0</v>
      </c>
      <c r="U142" s="300"/>
      <c r="V142" s="300"/>
      <c r="W142" s="300"/>
      <c r="X142" s="300"/>
      <c r="Y142" s="264">
        <f t="shared" si="37"/>
        <v>-1.4705882352941175</v>
      </c>
    </row>
    <row r="143" spans="1:25" s="6" customFormat="1" ht="15" hidden="1">
      <c r="A143" s="8"/>
      <c r="B143" s="259" t="str">
        <f>B77</f>
        <v>Надходження коштів від реалізації безхазяйного майна</v>
      </c>
      <c r="C143" s="296">
        <f>C77</f>
        <v>31010200</v>
      </c>
      <c r="D143" s="296"/>
      <c r="E143" s="319">
        <f aca="true" t="shared" si="40" ref="E143:T144">E77</f>
        <v>35</v>
      </c>
      <c r="F143" s="319">
        <f t="shared" si="40"/>
        <v>6.67</v>
      </c>
      <c r="G143" s="320">
        <f t="shared" si="40"/>
        <v>4.74</v>
      </c>
      <c r="H143" s="319">
        <f t="shared" si="40"/>
        <v>-1.9299999999999997</v>
      </c>
      <c r="I143" s="309">
        <f t="shared" si="40"/>
        <v>0.7106446776611695</v>
      </c>
      <c r="J143" s="319">
        <f t="shared" si="40"/>
        <v>-30.259999999999998</v>
      </c>
      <c r="K143" s="309">
        <f t="shared" si="40"/>
        <v>0.13542857142857143</v>
      </c>
      <c r="L143" s="109">
        <f t="shared" si="40"/>
        <v>0</v>
      </c>
      <c r="M143" s="109">
        <f t="shared" si="40"/>
        <v>0</v>
      </c>
      <c r="N143" s="109">
        <f t="shared" si="40"/>
        <v>0</v>
      </c>
      <c r="O143" s="327">
        <f t="shared" si="40"/>
        <v>34.22</v>
      </c>
      <c r="P143" s="327">
        <f t="shared" si="40"/>
        <v>0.7800000000000011</v>
      </c>
      <c r="Q143" s="309">
        <f t="shared" si="40"/>
        <v>1.0227936879018118</v>
      </c>
      <c r="R143" s="327">
        <f t="shared" si="40"/>
        <v>8.6</v>
      </c>
      <c r="S143" s="328">
        <f t="shared" si="40"/>
        <v>-3.8599999999999994</v>
      </c>
      <c r="T143" s="309">
        <f t="shared" si="40"/>
        <v>0.5511627906976745</v>
      </c>
      <c r="U143" s="302"/>
      <c r="V143" s="302"/>
      <c r="W143" s="302"/>
      <c r="X143" s="302"/>
      <c r="Y143" s="264">
        <f t="shared" si="37"/>
        <v>-0.4716308972041373</v>
      </c>
    </row>
    <row r="144" spans="1:25" s="6" customFormat="1" ht="30.75" hidden="1">
      <c r="A144" s="8"/>
      <c r="B144" s="259" t="str">
        <f>B78</f>
        <v>Надходження коштів від Держ фонду дорогоцінних металів та дорогоцінного каміння</v>
      </c>
      <c r="C144" s="296">
        <f>C78</f>
        <v>31020000</v>
      </c>
      <c r="D144" s="296"/>
      <c r="E144" s="319">
        <f t="shared" si="40"/>
        <v>0</v>
      </c>
      <c r="F144" s="319">
        <f t="shared" si="40"/>
        <v>0</v>
      </c>
      <c r="G144" s="320">
        <f t="shared" si="40"/>
        <v>0.11</v>
      </c>
      <c r="H144" s="319">
        <f t="shared" si="40"/>
        <v>0.11</v>
      </c>
      <c r="I144" s="309" t="e">
        <f t="shared" si="40"/>
        <v>#DIV/0!</v>
      </c>
      <c r="J144" s="319">
        <f t="shared" si="40"/>
        <v>0.11</v>
      </c>
      <c r="K144" s="309">
        <f t="shared" si="40"/>
        <v>0</v>
      </c>
      <c r="L144" s="109">
        <f t="shared" si="40"/>
        <v>0</v>
      </c>
      <c r="M144" s="109">
        <f t="shared" si="40"/>
        <v>0</v>
      </c>
      <c r="N144" s="109">
        <f t="shared" si="40"/>
        <v>0</v>
      </c>
      <c r="O144" s="327">
        <f t="shared" si="40"/>
        <v>-4.86</v>
      </c>
      <c r="P144" s="327">
        <f t="shared" si="40"/>
        <v>4.86</v>
      </c>
      <c r="Q144" s="309">
        <f t="shared" si="40"/>
        <v>0</v>
      </c>
      <c r="R144" s="327">
        <f t="shared" si="40"/>
        <v>-5.33</v>
      </c>
      <c r="S144" s="328">
        <f t="shared" si="40"/>
        <v>5.44</v>
      </c>
      <c r="T144" s="309">
        <f t="shared" si="40"/>
        <v>-0.020637898686679174</v>
      </c>
      <c r="U144" s="302"/>
      <c r="V144" s="302"/>
      <c r="W144" s="302"/>
      <c r="X144" s="302"/>
      <c r="Y144" s="264">
        <f t="shared" si="37"/>
        <v>-0.020637898686679174</v>
      </c>
    </row>
    <row r="145" spans="5:25" ht="15" hidden="1">
      <c r="E145" s="306">
        <f>E136+E137+E138+E139+E140+E141+E142+E143+E144</f>
        <v>1304.1</v>
      </c>
      <c r="F145" s="306">
        <f>F136+F137+F138+F139+F140+F141+F142+F143+F144</f>
        <v>243.6</v>
      </c>
      <c r="G145" s="307">
        <f>G136+G137+G138+G139+G140+G141+G142+G143+G144</f>
        <v>228.31000000000003</v>
      </c>
      <c r="H145" s="306">
        <f>G145-F145</f>
        <v>-15.289999999999964</v>
      </c>
      <c r="I145" s="241">
        <f>G145/F145</f>
        <v>0.937233169129721</v>
      </c>
      <c r="J145" s="306">
        <f>G145-E145</f>
        <v>-1075.79</v>
      </c>
      <c r="K145" s="241">
        <f>G145/E145</f>
        <v>0.17507093014339395</v>
      </c>
      <c r="L145" s="82"/>
      <c r="M145" s="82"/>
      <c r="N145" s="82"/>
      <c r="O145" s="306">
        <f>O136+O137+O138+O139+O140+O141+O142+O143+O144</f>
        <v>1238.34</v>
      </c>
      <c r="P145" s="306">
        <f>E145-O145</f>
        <v>65.75999999999999</v>
      </c>
      <c r="Q145" s="241">
        <f>E145/O145</f>
        <v>1.053103348030428</v>
      </c>
      <c r="R145" s="306">
        <f>R136+R137+R138+R139+R140+R141+R142+R143+R144</f>
        <v>146.12999999999997</v>
      </c>
      <c r="S145" s="306">
        <f>G145-R145</f>
        <v>82.18000000000006</v>
      </c>
      <c r="T145" s="329">
        <f>G145/R145</f>
        <v>1.5623759666050783</v>
      </c>
      <c r="U145" s="303"/>
      <c r="V145" s="303"/>
      <c r="W145" s="303"/>
      <c r="X145" s="303"/>
      <c r="Y145" s="267">
        <f t="shared" si="37"/>
        <v>0.5092726185746503</v>
      </c>
    </row>
    <row r="146" spans="20:25" ht="15" hidden="1">
      <c r="T146" s="64"/>
      <c r="U146" s="303"/>
      <c r="V146" s="303"/>
      <c r="W146" s="303"/>
      <c r="X146" s="303"/>
      <c r="Y146" s="264"/>
    </row>
    <row r="147" spans="2:25" ht="15" hidden="1">
      <c r="B147" s="219" t="s">
        <v>131</v>
      </c>
      <c r="T147" s="64"/>
      <c r="U147" s="303"/>
      <c r="V147" s="303"/>
      <c r="W147" s="303"/>
      <c r="X147" s="303"/>
      <c r="Y147" s="264"/>
    </row>
    <row r="148" spans="1:25" s="6" customFormat="1" ht="30.75" hidden="1">
      <c r="A148" s="8"/>
      <c r="B148" s="251" t="str">
        <f aca="true" t="shared" si="41" ref="B148:T152">B60</f>
        <v>Адміністративний збір за проведення державної реєстрації юридичних осіб та фізичних осіб - підпр</v>
      </c>
      <c r="C148" s="293">
        <f t="shared" si="41"/>
        <v>22010300</v>
      </c>
      <c r="D148" s="293"/>
      <c r="E148" s="312">
        <f t="shared" si="41"/>
        <v>1284</v>
      </c>
      <c r="F148" s="312">
        <f t="shared" si="41"/>
        <v>184</v>
      </c>
      <c r="G148" s="314">
        <f t="shared" si="41"/>
        <v>139.25</v>
      </c>
      <c r="H148" s="312">
        <f t="shared" si="41"/>
        <v>-44.75</v>
      </c>
      <c r="I148" s="310">
        <f t="shared" si="41"/>
        <v>0.7567934782608695</v>
      </c>
      <c r="J148" s="312">
        <f t="shared" si="41"/>
        <v>-1144.75</v>
      </c>
      <c r="K148" s="310">
        <f t="shared" si="41"/>
        <v>0.10845015576323988</v>
      </c>
      <c r="L148" s="108">
        <f t="shared" si="41"/>
        <v>0</v>
      </c>
      <c r="M148" s="108">
        <f t="shared" si="41"/>
        <v>0</v>
      </c>
      <c r="N148" s="108">
        <f t="shared" si="41"/>
        <v>0</v>
      </c>
      <c r="O148" s="312">
        <f t="shared" si="41"/>
        <v>1205.14</v>
      </c>
      <c r="P148" s="312">
        <f t="shared" si="41"/>
        <v>78.8599999999999</v>
      </c>
      <c r="Q148" s="310">
        <f t="shared" si="41"/>
        <v>1.0654363808354215</v>
      </c>
      <c r="R148" s="312">
        <f t="shared" si="41"/>
        <v>192.39</v>
      </c>
      <c r="S148" s="315">
        <f t="shared" si="41"/>
        <v>-53.139999999999986</v>
      </c>
      <c r="T148" s="310">
        <f t="shared" si="41"/>
        <v>0.7237902177867873</v>
      </c>
      <c r="U148" s="300"/>
      <c r="V148" s="300"/>
      <c r="W148" s="300"/>
      <c r="X148" s="300"/>
      <c r="Y148" s="264">
        <f aca="true" t="shared" si="42" ref="Y148:Y153">T148-Q148</f>
        <v>-0.34164616304863415</v>
      </c>
    </row>
    <row r="149" spans="1:25" s="6" customFormat="1" ht="15" hidden="1">
      <c r="A149" s="8"/>
      <c r="B149" s="251" t="str">
        <f t="shared" si="41"/>
        <v>Плата за сертифікати</v>
      </c>
      <c r="C149" s="293">
        <f t="shared" si="41"/>
        <v>22010200</v>
      </c>
      <c r="D149" s="293"/>
      <c r="E149" s="312">
        <f t="shared" si="41"/>
        <v>0</v>
      </c>
      <c r="F149" s="312">
        <f t="shared" si="41"/>
        <v>0</v>
      </c>
      <c r="G149" s="314">
        <f t="shared" si="41"/>
        <v>0</v>
      </c>
      <c r="H149" s="312">
        <f t="shared" si="41"/>
        <v>0</v>
      </c>
      <c r="I149" s="310" t="e">
        <f t="shared" si="41"/>
        <v>#DIV/0!</v>
      </c>
      <c r="J149" s="312">
        <f t="shared" si="41"/>
        <v>0</v>
      </c>
      <c r="K149" s="310" t="e">
        <f t="shared" si="41"/>
        <v>#DIV/0!</v>
      </c>
      <c r="L149" s="108">
        <f t="shared" si="41"/>
        <v>0</v>
      </c>
      <c r="M149" s="108">
        <f t="shared" si="41"/>
        <v>0</v>
      </c>
      <c r="N149" s="108">
        <f t="shared" si="41"/>
        <v>0</v>
      </c>
      <c r="O149" s="312">
        <f t="shared" si="41"/>
        <v>23.38</v>
      </c>
      <c r="P149" s="312">
        <f t="shared" si="41"/>
        <v>-23.38</v>
      </c>
      <c r="Q149" s="310">
        <f t="shared" si="41"/>
        <v>0</v>
      </c>
      <c r="R149" s="312">
        <f t="shared" si="41"/>
        <v>0</v>
      </c>
      <c r="S149" s="315">
        <f t="shared" si="41"/>
        <v>0</v>
      </c>
      <c r="T149" s="310">
        <f t="shared" si="41"/>
        <v>0</v>
      </c>
      <c r="U149" s="300"/>
      <c r="V149" s="300"/>
      <c r="W149" s="300"/>
      <c r="X149" s="300"/>
      <c r="Y149" s="264">
        <f t="shared" si="42"/>
        <v>0</v>
      </c>
    </row>
    <row r="150" spans="1:25" s="6" customFormat="1" ht="15" hidden="1">
      <c r="A150" s="8"/>
      <c r="B150" s="257" t="str">
        <f t="shared" si="41"/>
        <v>Плата за надання інших адміністративних послуг</v>
      </c>
      <c r="C150" s="294">
        <f t="shared" si="41"/>
        <v>22012500</v>
      </c>
      <c r="D150" s="294"/>
      <c r="E150" s="313">
        <f t="shared" si="41"/>
        <v>21260</v>
      </c>
      <c r="F150" s="313">
        <f t="shared" si="41"/>
        <v>3690</v>
      </c>
      <c r="G150" s="331">
        <f t="shared" si="41"/>
        <v>2948.06</v>
      </c>
      <c r="H150" s="313">
        <f t="shared" si="41"/>
        <v>-741.94</v>
      </c>
      <c r="I150" s="311">
        <f t="shared" si="41"/>
        <v>0.7989322493224932</v>
      </c>
      <c r="J150" s="313">
        <f t="shared" si="41"/>
        <v>-18311.94</v>
      </c>
      <c r="K150" s="311">
        <f t="shared" si="41"/>
        <v>0.1386669802445908</v>
      </c>
      <c r="L150" s="30">
        <f t="shared" si="41"/>
        <v>0</v>
      </c>
      <c r="M150" s="30">
        <f t="shared" si="41"/>
        <v>0</v>
      </c>
      <c r="N150" s="30">
        <f t="shared" si="41"/>
        <v>0</v>
      </c>
      <c r="O150" s="313">
        <f t="shared" si="41"/>
        <v>20110.14</v>
      </c>
      <c r="P150" s="313">
        <f t="shared" si="41"/>
        <v>1149.8600000000006</v>
      </c>
      <c r="Q150" s="311">
        <f t="shared" si="41"/>
        <v>1.0571781200926498</v>
      </c>
      <c r="R150" s="313">
        <f t="shared" si="41"/>
        <v>2143.72</v>
      </c>
      <c r="S150" s="332">
        <f t="shared" si="41"/>
        <v>804.3400000000001</v>
      </c>
      <c r="T150" s="311">
        <f t="shared" si="41"/>
        <v>1.37520758307988</v>
      </c>
      <c r="U150" s="304"/>
      <c r="V150" s="304"/>
      <c r="W150" s="304"/>
      <c r="X150" s="304"/>
      <c r="Y150" s="264">
        <f t="shared" si="42"/>
        <v>0.3180294629872302</v>
      </c>
    </row>
    <row r="151" spans="1:25" s="6" customFormat="1" ht="30.75" hidden="1">
      <c r="A151" s="8"/>
      <c r="B151" s="257" t="str">
        <f t="shared" si="41"/>
        <v>Адміністративний збір за державну реєстрацію речових прав на нерухоме майно та їх обтяжень</v>
      </c>
      <c r="C151" s="294">
        <f t="shared" si="41"/>
        <v>22012600</v>
      </c>
      <c r="D151" s="294"/>
      <c r="E151" s="313">
        <f t="shared" si="41"/>
        <v>767</v>
      </c>
      <c r="F151" s="313">
        <f t="shared" si="41"/>
        <v>121</v>
      </c>
      <c r="G151" s="331">
        <f t="shared" si="41"/>
        <v>85.31</v>
      </c>
      <c r="H151" s="313">
        <f t="shared" si="41"/>
        <v>-35.69</v>
      </c>
      <c r="I151" s="311">
        <f t="shared" si="41"/>
        <v>0.7050413223140496</v>
      </c>
      <c r="J151" s="313">
        <f t="shared" si="41"/>
        <v>-681.69</v>
      </c>
      <c r="K151" s="311">
        <f t="shared" si="41"/>
        <v>0.11122555410691004</v>
      </c>
      <c r="L151" s="30">
        <f t="shared" si="41"/>
        <v>0</v>
      </c>
      <c r="M151" s="30">
        <f t="shared" si="41"/>
        <v>0</v>
      </c>
      <c r="N151" s="30">
        <f t="shared" si="41"/>
        <v>0</v>
      </c>
      <c r="O151" s="313">
        <f t="shared" si="41"/>
        <v>710.04</v>
      </c>
      <c r="P151" s="313">
        <f t="shared" si="41"/>
        <v>56.960000000000036</v>
      </c>
      <c r="Q151" s="311">
        <f t="shared" si="41"/>
        <v>1.0802208326291478</v>
      </c>
      <c r="R151" s="313">
        <f t="shared" si="41"/>
        <v>90.44</v>
      </c>
      <c r="S151" s="332">
        <f t="shared" si="41"/>
        <v>-5.1299999999999955</v>
      </c>
      <c r="T151" s="311">
        <f t="shared" si="41"/>
        <v>0.9432773109243698</v>
      </c>
      <c r="U151" s="304"/>
      <c r="V151" s="304"/>
      <c r="W151" s="304"/>
      <c r="X151" s="304"/>
      <c r="Y151" s="264">
        <f t="shared" si="42"/>
        <v>-0.13694352170477797</v>
      </c>
    </row>
    <row r="152" spans="1:25" s="6" customFormat="1" ht="30.75" hidden="1">
      <c r="A152" s="8"/>
      <c r="B152" s="257" t="str">
        <f t="shared" si="41"/>
        <v>Плата за скорочення термінів надання послуг у сфері державної реєстрації речових прав на нерухоме майно</v>
      </c>
      <c r="C152" s="294">
        <f t="shared" si="41"/>
        <v>22012900</v>
      </c>
      <c r="D152" s="294"/>
      <c r="E152" s="313">
        <f t="shared" si="41"/>
        <v>44</v>
      </c>
      <c r="F152" s="313">
        <f t="shared" si="41"/>
        <v>4</v>
      </c>
      <c r="G152" s="331">
        <f t="shared" si="41"/>
        <v>1.06</v>
      </c>
      <c r="H152" s="313">
        <f t="shared" si="41"/>
        <v>-2.94</v>
      </c>
      <c r="I152" s="311">
        <f t="shared" si="41"/>
        <v>0.265</v>
      </c>
      <c r="J152" s="313">
        <f t="shared" si="41"/>
        <v>-42.94</v>
      </c>
      <c r="K152" s="311">
        <f t="shared" si="41"/>
        <v>0.024090909090909093</v>
      </c>
      <c r="L152" s="30">
        <f t="shared" si="41"/>
        <v>0</v>
      </c>
      <c r="M152" s="30">
        <f t="shared" si="41"/>
        <v>0</v>
      </c>
      <c r="N152" s="30">
        <f t="shared" si="41"/>
        <v>0</v>
      </c>
      <c r="O152" s="313">
        <f t="shared" si="41"/>
        <v>41.44</v>
      </c>
      <c r="P152" s="313">
        <f t="shared" si="41"/>
        <v>2.5600000000000023</v>
      </c>
      <c r="Q152" s="311">
        <f t="shared" si="41"/>
        <v>1.0617760617760619</v>
      </c>
      <c r="R152" s="313">
        <f t="shared" si="41"/>
        <v>0</v>
      </c>
      <c r="S152" s="332">
        <f t="shared" si="41"/>
        <v>1.06</v>
      </c>
      <c r="T152" s="311" t="e">
        <f t="shared" si="41"/>
        <v>#DIV/0!</v>
      </c>
      <c r="U152" s="304"/>
      <c r="V152" s="304"/>
      <c r="W152" s="304"/>
      <c r="X152" s="304"/>
      <c r="Y152" s="264" t="e">
        <f t="shared" si="42"/>
        <v>#DIV/0!</v>
      </c>
    </row>
    <row r="153" spans="2:25" ht="15" hidden="1">
      <c r="B153" s="219" t="s">
        <v>131</v>
      </c>
      <c r="C153" s="336">
        <v>22010000</v>
      </c>
      <c r="D153" s="336"/>
      <c r="E153" s="306">
        <f>E148+E149+E150+E151+E152</f>
        <v>23355</v>
      </c>
      <c r="F153" s="306">
        <f>F148+F149+F150+F151+F152</f>
        <v>3999</v>
      </c>
      <c r="G153" s="307">
        <f>G148+G149+G150+G151+G152</f>
        <v>3173.68</v>
      </c>
      <c r="H153" s="306">
        <f>G153-F153</f>
        <v>-825.3200000000002</v>
      </c>
      <c r="I153" s="241">
        <f>G153/F153</f>
        <v>0.7936184046011503</v>
      </c>
      <c r="J153" s="306">
        <f>G153-E153</f>
        <v>-20181.32</v>
      </c>
      <c r="K153" s="241">
        <f>G153/E153</f>
        <v>0.1358886748019696</v>
      </c>
      <c r="L153" s="82"/>
      <c r="M153" s="82"/>
      <c r="N153" s="82"/>
      <c r="O153" s="306">
        <f>O148+O149+O150+O151+O152</f>
        <v>22090.14</v>
      </c>
      <c r="P153" s="306">
        <f>E153-O153</f>
        <v>1264.8600000000006</v>
      </c>
      <c r="Q153" s="241">
        <f>E153/O153</f>
        <v>1.0572590304995804</v>
      </c>
      <c r="R153" s="306">
        <f>R148+R149+R150+R151+R152</f>
        <v>2426.5499999999997</v>
      </c>
      <c r="S153" s="306">
        <f>G153-R153</f>
        <v>747.1300000000001</v>
      </c>
      <c r="T153" s="241">
        <f>G153/R153</f>
        <v>1.307898044548845</v>
      </c>
      <c r="U153" s="303"/>
      <c r="V153" s="303"/>
      <c r="W153" s="303"/>
      <c r="X153" s="303"/>
      <c r="Y153" s="267">
        <f t="shared" si="42"/>
        <v>0.2506390140492647</v>
      </c>
    </row>
    <row r="154" spans="21:25" ht="15" hidden="1">
      <c r="U154" s="303"/>
      <c r="V154" s="303"/>
      <c r="W154" s="303"/>
      <c r="X154" s="303"/>
      <c r="Y154" s="264"/>
    </row>
    <row r="155" spans="21:25" ht="15" hidden="1">
      <c r="U155" s="303"/>
      <c r="V155" s="303"/>
      <c r="W155" s="303"/>
      <c r="X155" s="303"/>
      <c r="Y155" s="264"/>
    </row>
    <row r="156" spans="2:25" ht="15" hidden="1">
      <c r="B156" s="219" t="s">
        <v>144</v>
      </c>
      <c r="U156" s="303"/>
      <c r="V156" s="303"/>
      <c r="W156" s="303"/>
      <c r="X156" s="303"/>
      <c r="Y156" s="264"/>
    </row>
    <row r="157" spans="1:25" s="6" customFormat="1" ht="15.75" customHeight="1" hidden="1">
      <c r="A157" s="8"/>
      <c r="B157" s="258" t="str">
        <f>B72</f>
        <v>Інші надходження</v>
      </c>
      <c r="C157" s="296" t="str">
        <f>C72</f>
        <v>24060300</v>
      </c>
      <c r="D157" s="296"/>
      <c r="E157" s="327">
        <f aca="true" t="shared" si="43" ref="E157:T157">E72</f>
        <v>8170</v>
      </c>
      <c r="F157" s="327">
        <f t="shared" si="43"/>
        <v>1248.65</v>
      </c>
      <c r="G157" s="333">
        <f t="shared" si="43"/>
        <v>801.2</v>
      </c>
      <c r="H157" s="327">
        <f t="shared" si="43"/>
        <v>-447.45000000000005</v>
      </c>
      <c r="I157" s="309">
        <f t="shared" si="43"/>
        <v>0.6416529852240419</v>
      </c>
      <c r="J157" s="327">
        <f t="shared" si="43"/>
        <v>-7368.8</v>
      </c>
      <c r="K157" s="309">
        <f t="shared" si="43"/>
        <v>0.09806609547123624</v>
      </c>
      <c r="L157" s="295">
        <f t="shared" si="43"/>
        <v>0</v>
      </c>
      <c r="M157" s="295">
        <f t="shared" si="43"/>
        <v>0</v>
      </c>
      <c r="N157" s="295">
        <f t="shared" si="43"/>
        <v>0</v>
      </c>
      <c r="O157" s="327">
        <f t="shared" si="43"/>
        <v>8086.92</v>
      </c>
      <c r="P157" s="327">
        <f t="shared" si="43"/>
        <v>83.07999999999993</v>
      </c>
      <c r="Q157" s="309">
        <f t="shared" si="43"/>
        <v>1.0102733797292418</v>
      </c>
      <c r="R157" s="327">
        <f t="shared" si="43"/>
        <v>2711.43</v>
      </c>
      <c r="S157" s="327">
        <f t="shared" si="43"/>
        <v>-1910.2299999999998</v>
      </c>
      <c r="T157" s="309">
        <f t="shared" si="43"/>
        <v>0.2954898337777483</v>
      </c>
      <c r="U157" s="305"/>
      <c r="V157" s="305"/>
      <c r="W157" s="305"/>
      <c r="X157" s="305"/>
      <c r="Y157" s="264">
        <f>T157-Q157</f>
        <v>-0.7147835459514935</v>
      </c>
    </row>
    <row r="158" spans="1:25" s="6" customFormat="1" ht="44.25" customHeight="1" hidden="1">
      <c r="A158" s="8"/>
      <c r="B158" s="258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296">
        <f>C76</f>
        <v>24061900</v>
      </c>
      <c r="D158" s="296"/>
      <c r="E158" s="327">
        <f aca="true" t="shared" si="44" ref="E158:T158">E76</f>
        <v>174.4</v>
      </c>
      <c r="F158" s="327">
        <f t="shared" si="44"/>
        <v>0</v>
      </c>
      <c r="G158" s="333">
        <f t="shared" si="44"/>
        <v>0</v>
      </c>
      <c r="H158" s="327">
        <f t="shared" si="44"/>
        <v>0</v>
      </c>
      <c r="I158" s="309" t="e">
        <f t="shared" si="44"/>
        <v>#DIV/0!</v>
      </c>
      <c r="J158" s="327">
        <f t="shared" si="44"/>
        <v>-174.4</v>
      </c>
      <c r="K158" s="309">
        <f t="shared" si="44"/>
        <v>0</v>
      </c>
      <c r="L158" s="295">
        <f t="shared" si="44"/>
        <v>0</v>
      </c>
      <c r="M158" s="295">
        <f t="shared" si="44"/>
        <v>0</v>
      </c>
      <c r="N158" s="295">
        <f t="shared" si="44"/>
        <v>0</v>
      </c>
      <c r="O158" s="327">
        <f t="shared" si="44"/>
        <v>142.18</v>
      </c>
      <c r="P158" s="327">
        <f t="shared" si="44"/>
        <v>32.22</v>
      </c>
      <c r="Q158" s="309">
        <f t="shared" si="44"/>
        <v>1.2266141510761006</v>
      </c>
      <c r="R158" s="327">
        <f t="shared" si="44"/>
        <v>32.89</v>
      </c>
      <c r="S158" s="327">
        <f t="shared" si="44"/>
        <v>-32.89</v>
      </c>
      <c r="T158" s="309">
        <f t="shared" si="44"/>
        <v>0</v>
      </c>
      <c r="U158" s="305"/>
      <c r="V158" s="305"/>
      <c r="W158" s="305"/>
      <c r="X158" s="305"/>
      <c r="Y158" s="264">
        <f>T158-Q158</f>
        <v>-1.2266141510761006</v>
      </c>
    </row>
    <row r="159" spans="2:25" ht="15" hidden="1">
      <c r="B159" s="219" t="s">
        <v>144</v>
      </c>
      <c r="C159" s="335">
        <v>24060000</v>
      </c>
      <c r="D159" s="340"/>
      <c r="E159" s="306">
        <f>E157+E158</f>
        <v>8344.4</v>
      </c>
      <c r="F159" s="306">
        <f>F157+F158</f>
        <v>1248.65</v>
      </c>
      <c r="G159" s="307">
        <f>G157+G158</f>
        <v>801.2</v>
      </c>
      <c r="H159" s="308">
        <f>G159-F159</f>
        <v>-447.45000000000005</v>
      </c>
      <c r="I159" s="241">
        <f>G159/F159</f>
        <v>0.6416529852240419</v>
      </c>
      <c r="J159" s="306">
        <f>G159-E159</f>
        <v>-7543.2</v>
      </c>
      <c r="K159" s="241">
        <f>G159/E159</f>
        <v>0.09601649010114569</v>
      </c>
      <c r="L159" s="82"/>
      <c r="M159" s="82"/>
      <c r="N159" s="82"/>
      <c r="O159" s="306">
        <f>O157+O158</f>
        <v>8229.1</v>
      </c>
      <c r="P159" s="306">
        <f>E159-O159</f>
        <v>115.29999999999927</v>
      </c>
      <c r="Q159" s="241">
        <f>E159/O159</f>
        <v>1.0140112527493892</v>
      </c>
      <c r="R159" s="306">
        <f>R157+R158</f>
        <v>2744.3199999999997</v>
      </c>
      <c r="S159" s="306">
        <f>G159-R159</f>
        <v>-1943.1199999999997</v>
      </c>
      <c r="T159" s="241">
        <f>G159/R159</f>
        <v>0.2919484608208956</v>
      </c>
      <c r="U159" s="303"/>
      <c r="V159" s="303"/>
      <c r="W159" s="303"/>
      <c r="X159" s="303"/>
      <c r="Y159" s="267">
        <f>T159-Q159</f>
        <v>-0.7220627919284937</v>
      </c>
    </row>
    <row r="160" spans="21:24" ht="15" hidden="1">
      <c r="U160" s="303"/>
      <c r="V160" s="303"/>
      <c r="W160" s="303"/>
      <c r="X160" s="303"/>
    </row>
    <row r="161" spans="21:24" ht="15" hidden="1">
      <c r="U161" s="303"/>
      <c r="V161" s="303"/>
      <c r="W161" s="303"/>
      <c r="X161" s="303"/>
    </row>
    <row r="162" spans="21:24" ht="15" hidden="1">
      <c r="U162" s="303"/>
      <c r="V162" s="303"/>
      <c r="W162" s="303"/>
      <c r="X162" s="303"/>
    </row>
    <row r="163" spans="21:24" ht="15" hidden="1">
      <c r="U163" s="303"/>
      <c r="V163" s="303"/>
      <c r="W163" s="303"/>
      <c r="X163" s="303"/>
    </row>
    <row r="164" spans="21:24" ht="15" hidden="1">
      <c r="U164" s="303"/>
      <c r="V164" s="303"/>
      <c r="W164" s="303"/>
      <c r="X164" s="303"/>
    </row>
    <row r="165" spans="21:24" ht="15" hidden="1">
      <c r="U165" s="303"/>
      <c r="V165" s="303"/>
      <c r="W165" s="303"/>
      <c r="X165" s="303"/>
    </row>
    <row r="166" spans="21:24" ht="15">
      <c r="U166" s="303"/>
      <c r="V166" s="303"/>
      <c r="W166" s="303"/>
      <c r="X166" s="303"/>
    </row>
    <row r="167" spans="21:24" ht="15">
      <c r="U167" s="303"/>
      <c r="V167" s="303"/>
      <c r="W167" s="303"/>
      <c r="X167" s="303"/>
    </row>
    <row r="168" spans="21:24" ht="15">
      <c r="U168" s="303"/>
      <c r="V168" s="303"/>
      <c r="W168" s="303"/>
      <c r="X168" s="303"/>
    </row>
  </sheetData>
  <sheetProtection/>
  <mergeCells count="35"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V3:X3"/>
    <mergeCell ref="W4:W5"/>
    <mergeCell ref="X4:X5"/>
    <mergeCell ref="L5:N5"/>
    <mergeCell ref="O5:Q5"/>
    <mergeCell ref="R5:T5"/>
    <mergeCell ref="H104:K104"/>
    <mergeCell ref="H4:H5"/>
    <mergeCell ref="I4:I5"/>
    <mergeCell ref="J4:J5"/>
    <mergeCell ref="K4:K5"/>
    <mergeCell ref="V113:W113"/>
    <mergeCell ref="V105:W105"/>
    <mergeCell ref="H106:I106"/>
    <mergeCell ref="V106:W106"/>
    <mergeCell ref="H107:I107"/>
    <mergeCell ref="V107:W107"/>
    <mergeCell ref="H108:I108"/>
    <mergeCell ref="D3:D5"/>
    <mergeCell ref="B109:C109"/>
    <mergeCell ref="H109:I109"/>
    <mergeCell ref="H110:I110"/>
    <mergeCell ref="B111:C111"/>
    <mergeCell ref="H111:I111"/>
    <mergeCell ref="G4:G5"/>
    <mergeCell ref="F4:F5"/>
  </mergeCells>
  <printOptions/>
  <pageMargins left="0.31496062992125984" right="0" top="0" bottom="0" header="0" footer="0"/>
  <pageSetup fitToHeight="1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8"/>
  <sheetViews>
    <sheetView tabSelected="1" zoomScale="69" zoomScaleNormal="69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X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2" customWidth="1"/>
    <col min="4" max="4" width="14.50390625" style="62" hidden="1" customWidth="1"/>
    <col min="5" max="5" width="14.50390625" style="4" customWidth="1"/>
    <col min="6" max="6" width="14.00390625" style="4" customWidth="1"/>
    <col min="7" max="7" width="13.875" style="94" customWidth="1"/>
    <col min="8" max="8" width="13.25390625" style="4" customWidth="1"/>
    <col min="9" max="9" width="11.5039062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90" customWidth="1"/>
    <col min="18" max="18" width="13.625" style="4" hidden="1" customWidth="1"/>
    <col min="19" max="19" width="12.25390625" style="4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236" hidden="1" customWidth="1"/>
    <col min="26" max="16384" width="9.125" style="4" customWidth="1"/>
  </cols>
  <sheetData>
    <row r="1" spans="1:25" s="1" customFormat="1" ht="26.25" customHeight="1">
      <c r="A1" s="397" t="s">
        <v>152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236"/>
    </row>
    <row r="2" spans="2:25" s="1" customFormat="1" ht="15.75" customHeight="1">
      <c r="B2" s="398"/>
      <c r="C2" s="398"/>
      <c r="D2" s="398"/>
      <c r="E2" s="398"/>
      <c r="F2" s="2"/>
      <c r="G2" s="93"/>
      <c r="H2" s="2"/>
      <c r="I2" s="2"/>
      <c r="K2" s="1" t="s">
        <v>24</v>
      </c>
      <c r="Q2" s="239"/>
      <c r="T2" s="1" t="s">
        <v>24</v>
      </c>
      <c r="X2" s="16" t="s">
        <v>24</v>
      </c>
      <c r="Y2" s="236"/>
    </row>
    <row r="3" spans="1:25" s="3" customFormat="1" ht="13.5" customHeight="1">
      <c r="A3" s="399"/>
      <c r="B3" s="401"/>
      <c r="C3" s="402" t="s">
        <v>0</v>
      </c>
      <c r="D3" s="410" t="s">
        <v>155</v>
      </c>
      <c r="E3" s="371" t="s">
        <v>155</v>
      </c>
      <c r="F3" s="29"/>
      <c r="G3" s="403" t="s">
        <v>26</v>
      </c>
      <c r="H3" s="404"/>
      <c r="I3" s="404"/>
      <c r="J3" s="404"/>
      <c r="K3" s="405"/>
      <c r="L3" s="78" t="s">
        <v>128</v>
      </c>
      <c r="M3" s="78"/>
      <c r="N3" s="78"/>
      <c r="O3" s="78" t="s">
        <v>128</v>
      </c>
      <c r="P3" s="78"/>
      <c r="Q3" s="240"/>
      <c r="R3" s="78"/>
      <c r="S3" s="78"/>
      <c r="T3" s="78"/>
      <c r="U3" s="406" t="s">
        <v>165</v>
      </c>
      <c r="V3" s="407" t="s">
        <v>148</v>
      </c>
      <c r="W3" s="407"/>
      <c r="X3" s="407"/>
      <c r="Y3" s="260"/>
    </row>
    <row r="4" spans="1:24" ht="22.5" customHeight="1">
      <c r="A4" s="399"/>
      <c r="B4" s="401"/>
      <c r="C4" s="402"/>
      <c r="D4" s="411"/>
      <c r="E4" s="371"/>
      <c r="F4" s="408" t="s">
        <v>163</v>
      </c>
      <c r="G4" s="391" t="s">
        <v>31</v>
      </c>
      <c r="H4" s="380" t="s">
        <v>146</v>
      </c>
      <c r="I4" s="393" t="s">
        <v>147</v>
      </c>
      <c r="J4" s="380" t="s">
        <v>156</v>
      </c>
      <c r="K4" s="393" t="s">
        <v>157</v>
      </c>
      <c r="L4" s="80" t="s">
        <v>129</v>
      </c>
      <c r="M4" s="167" t="s">
        <v>105</v>
      </c>
      <c r="N4" s="82" t="s">
        <v>61</v>
      </c>
      <c r="O4" s="80" t="s">
        <v>150</v>
      </c>
      <c r="P4" s="167" t="s">
        <v>105</v>
      </c>
      <c r="Q4" s="241" t="s">
        <v>61</v>
      </c>
      <c r="R4" s="80" t="s">
        <v>150</v>
      </c>
      <c r="S4" s="167" t="s">
        <v>105</v>
      </c>
      <c r="T4" s="82" t="s">
        <v>61</v>
      </c>
      <c r="U4" s="393"/>
      <c r="V4" s="395" t="s">
        <v>162</v>
      </c>
      <c r="W4" s="380" t="s">
        <v>47</v>
      </c>
      <c r="X4" s="382" t="s">
        <v>46</v>
      </c>
    </row>
    <row r="5" spans="1:24" ht="67.5" customHeight="1">
      <c r="A5" s="400"/>
      <c r="B5" s="401"/>
      <c r="C5" s="402"/>
      <c r="D5" s="412"/>
      <c r="E5" s="371"/>
      <c r="F5" s="409"/>
      <c r="G5" s="392"/>
      <c r="H5" s="381"/>
      <c r="I5" s="394"/>
      <c r="J5" s="381"/>
      <c r="K5" s="394"/>
      <c r="L5" s="383" t="s">
        <v>130</v>
      </c>
      <c r="M5" s="384"/>
      <c r="N5" s="385"/>
      <c r="O5" s="413" t="s">
        <v>149</v>
      </c>
      <c r="P5" s="414"/>
      <c r="Q5" s="415"/>
      <c r="R5" s="389" t="s">
        <v>151</v>
      </c>
      <c r="S5" s="389"/>
      <c r="T5" s="389"/>
      <c r="U5" s="394"/>
      <c r="V5" s="396"/>
      <c r="W5" s="381"/>
      <c r="X5" s="382"/>
    </row>
    <row r="6" spans="1:24" ht="15.75" customHeight="1">
      <c r="A6" s="5" t="s">
        <v>1</v>
      </c>
      <c r="B6" s="10" t="s">
        <v>2</v>
      </c>
      <c r="C6" s="55" t="s">
        <v>3</v>
      </c>
      <c r="D6" s="55"/>
      <c r="E6" s="10" t="s">
        <v>4</v>
      </c>
      <c r="F6" s="10" t="s">
        <v>5</v>
      </c>
      <c r="G6" s="113" t="s">
        <v>6</v>
      </c>
      <c r="H6" s="10" t="s">
        <v>7</v>
      </c>
      <c r="I6" s="10" t="s">
        <v>36</v>
      </c>
      <c r="J6" s="10" t="s">
        <v>58</v>
      </c>
      <c r="K6" s="10" t="s">
        <v>8</v>
      </c>
      <c r="L6" s="10"/>
      <c r="M6" s="10"/>
      <c r="N6" s="10"/>
      <c r="O6" s="10"/>
      <c r="P6" s="10"/>
      <c r="Q6" s="242"/>
      <c r="R6" s="10" t="s">
        <v>25</v>
      </c>
      <c r="S6" s="10"/>
      <c r="T6" s="10" t="s">
        <v>63</v>
      </c>
      <c r="U6" s="10" t="s">
        <v>64</v>
      </c>
      <c r="V6" s="118" t="s">
        <v>65</v>
      </c>
      <c r="W6" s="10" t="s">
        <v>66</v>
      </c>
      <c r="X6" s="10" t="s">
        <v>67</v>
      </c>
    </row>
    <row r="7" spans="1:24" ht="15.75" customHeight="1">
      <c r="A7" s="17"/>
      <c r="B7" s="18" t="s">
        <v>27</v>
      </c>
      <c r="C7" s="55"/>
      <c r="D7" s="55"/>
      <c r="E7" s="10"/>
      <c r="F7" s="10"/>
      <c r="G7" s="113"/>
      <c r="H7" s="10"/>
      <c r="I7" s="10"/>
      <c r="J7" s="10"/>
      <c r="K7" s="10"/>
      <c r="L7" s="10"/>
      <c r="M7" s="10"/>
      <c r="N7" s="10"/>
      <c r="O7" s="10"/>
      <c r="P7" s="10"/>
      <c r="Q7" s="242"/>
      <c r="R7" s="10"/>
      <c r="S7" s="10"/>
      <c r="T7" s="10"/>
      <c r="U7" s="10"/>
      <c r="V7" s="118"/>
      <c r="W7" s="10"/>
      <c r="X7" s="10"/>
    </row>
    <row r="8" spans="1:25" s="6" customFormat="1" ht="17.25">
      <c r="A8" s="7"/>
      <c r="B8" s="126" t="s">
        <v>9</v>
      </c>
      <c r="C8" s="65" t="s">
        <v>10</v>
      </c>
      <c r="D8" s="124">
        <f>D9+D15+D18+D19+D23+D17</f>
        <v>1580633.8</v>
      </c>
      <c r="E8" s="124">
        <f>E9+E15+E18+E19+E23+E17</f>
        <v>1580633.8</v>
      </c>
      <c r="F8" s="124">
        <f>F9+F15+F18+F19+F23+F17</f>
        <v>112027.019</v>
      </c>
      <c r="G8" s="124">
        <f>G9+G15+G18+G19+G23+G17</f>
        <v>112027.01</v>
      </c>
      <c r="H8" s="124">
        <f>G8-F8</f>
        <v>-0.00900000000547152</v>
      </c>
      <c r="I8" s="277">
        <f aca="true" t="shared" si="0" ref="I8:I15">G8/F8</f>
        <v>0.9999999196622379</v>
      </c>
      <c r="J8" s="125">
        <f aca="true" t="shared" si="1" ref="J8:J52">G8-E8</f>
        <v>-1468606.79</v>
      </c>
      <c r="K8" s="181">
        <f aca="true" t="shared" si="2" ref="K8:K14">G8/E8</f>
        <v>0.07087474024660234</v>
      </c>
      <c r="L8" s="125"/>
      <c r="M8" s="125"/>
      <c r="N8" s="125"/>
      <c r="O8" s="125">
        <v>1329586.12</v>
      </c>
      <c r="P8" s="125">
        <f aca="true" t="shared" si="3" ref="P8:P22">E8-O8</f>
        <v>251047.67999999993</v>
      </c>
      <c r="Q8" s="181">
        <f aca="true" t="shared" si="4" ref="Q8:Q22">E8/O8</f>
        <v>1.188816411531131</v>
      </c>
      <c r="R8" s="124">
        <v>93856.96</v>
      </c>
      <c r="S8" s="124">
        <f aca="true" t="shared" si="5" ref="S8:S78">G8-R8</f>
        <v>18170.04999999999</v>
      </c>
      <c r="T8" s="168">
        <f aca="true" t="shared" si="6" ref="T8:T20">G8/R8</f>
        <v>1.1935929951279052</v>
      </c>
      <c r="U8" s="124">
        <f>U9+U15+U18+U19+U23+U17</f>
        <v>112027.019</v>
      </c>
      <c r="V8" s="124">
        <f>V9+V15+V18+V19+V23+V17</f>
        <v>112027.01</v>
      </c>
      <c r="W8" s="124">
        <f>V8-U8</f>
        <v>-0.00900000000547152</v>
      </c>
      <c r="X8" s="168">
        <f aca="true" t="shared" si="7" ref="X8:X15">V8/U8</f>
        <v>0.9999999196622379</v>
      </c>
      <c r="Y8" s="266">
        <f aca="true" t="shared" si="8" ref="Y8:Y22">T8-Q8</f>
        <v>0.004776583596774131</v>
      </c>
    </row>
    <row r="9" spans="1:25" s="6" customFormat="1" ht="18">
      <c r="A9" s="8"/>
      <c r="B9" s="108" t="s">
        <v>74</v>
      </c>
      <c r="C9" s="38">
        <v>11010000</v>
      </c>
      <c r="D9" s="341">
        <v>956203</v>
      </c>
      <c r="E9" s="123">
        <v>956203</v>
      </c>
      <c r="F9" s="123">
        <v>63829.339</v>
      </c>
      <c r="G9" s="127">
        <v>63829.29</v>
      </c>
      <c r="H9" s="123">
        <f>G9-F9</f>
        <v>-0.04899999999906868</v>
      </c>
      <c r="I9" s="275">
        <f t="shared" si="0"/>
        <v>0.9999992323279425</v>
      </c>
      <c r="J9" s="129">
        <f t="shared" si="1"/>
        <v>-892373.71</v>
      </c>
      <c r="K9" s="173">
        <f t="shared" si="2"/>
        <v>0.06675286523886664</v>
      </c>
      <c r="L9" s="129"/>
      <c r="M9" s="129"/>
      <c r="N9" s="129"/>
      <c r="O9" s="129">
        <v>775821.8</v>
      </c>
      <c r="P9" s="129">
        <f t="shared" si="3"/>
        <v>180381.19999999995</v>
      </c>
      <c r="Q9" s="173">
        <f t="shared" si="4"/>
        <v>1.2325033918871575</v>
      </c>
      <c r="R9" s="187">
        <v>46924.93</v>
      </c>
      <c r="S9" s="130">
        <f t="shared" si="5"/>
        <v>16904.36</v>
      </c>
      <c r="T9" s="169">
        <f t="shared" si="6"/>
        <v>1.3602426258281046</v>
      </c>
      <c r="U9" s="128">
        <f>F9-0</f>
        <v>63829.339</v>
      </c>
      <c r="V9" s="131">
        <f>G9-0</f>
        <v>63829.29</v>
      </c>
      <c r="W9" s="132">
        <f>V9-U9</f>
        <v>-0.04899999999906868</v>
      </c>
      <c r="X9" s="173">
        <f t="shared" si="7"/>
        <v>0.9999992323279425</v>
      </c>
      <c r="Y9" s="267">
        <f t="shared" si="8"/>
        <v>0.1277392339409471</v>
      </c>
    </row>
    <row r="10" spans="1:25" s="6" customFormat="1" ht="15" customHeight="1" hidden="1">
      <c r="A10" s="8"/>
      <c r="B10" s="99" t="s">
        <v>84</v>
      </c>
      <c r="C10" s="86">
        <v>11010100</v>
      </c>
      <c r="D10" s="342">
        <v>881803</v>
      </c>
      <c r="E10" s="87">
        <v>881803</v>
      </c>
      <c r="F10" s="87">
        <v>58978.7</v>
      </c>
      <c r="G10" s="115">
        <v>58978.69</v>
      </c>
      <c r="H10" s="87">
        <f aca="true" t="shared" si="9" ref="H10:H47">G10-F10</f>
        <v>-0.00999999999476131</v>
      </c>
      <c r="I10" s="276">
        <f t="shared" si="0"/>
        <v>0.9999998304472633</v>
      </c>
      <c r="J10" s="88">
        <f t="shared" si="1"/>
        <v>-822824.31</v>
      </c>
      <c r="K10" s="91">
        <f t="shared" si="2"/>
        <v>0.06688420202698335</v>
      </c>
      <c r="L10" s="88"/>
      <c r="M10" s="88"/>
      <c r="N10" s="88"/>
      <c r="O10" s="88">
        <v>709899.75</v>
      </c>
      <c r="P10" s="88">
        <f t="shared" si="3"/>
        <v>171903.25</v>
      </c>
      <c r="Q10" s="91">
        <f t="shared" si="4"/>
        <v>1.2421514446229909</v>
      </c>
      <c r="R10" s="90">
        <v>43142.93</v>
      </c>
      <c r="S10" s="90">
        <f t="shared" si="5"/>
        <v>15835.760000000002</v>
      </c>
      <c r="T10" s="170">
        <f t="shared" si="6"/>
        <v>1.367053419876675</v>
      </c>
      <c r="U10" s="89">
        <f aca="true" t="shared" si="10" ref="U10:U52">F10</f>
        <v>58978.7</v>
      </c>
      <c r="V10" s="119">
        <f aca="true" t="shared" si="11" ref="V10:V52">G10</f>
        <v>58978.69</v>
      </c>
      <c r="W10" s="90">
        <f aca="true" t="shared" si="12" ref="W10:W52">V10-U10</f>
        <v>-0.00999999999476131</v>
      </c>
      <c r="X10" s="91">
        <f t="shared" si="7"/>
        <v>0.9999998304472633</v>
      </c>
      <c r="Y10" s="265">
        <f t="shared" si="8"/>
        <v>0.12490197525368418</v>
      </c>
    </row>
    <row r="11" spans="1:25" s="6" customFormat="1" ht="15" customHeight="1" hidden="1">
      <c r="A11" s="8"/>
      <c r="B11" s="99" t="s">
        <v>80</v>
      </c>
      <c r="C11" s="86">
        <v>11010200</v>
      </c>
      <c r="D11" s="342">
        <v>49900</v>
      </c>
      <c r="E11" s="87">
        <v>49900</v>
      </c>
      <c r="F11" s="87">
        <v>3484.7</v>
      </c>
      <c r="G11" s="115">
        <v>3484.7</v>
      </c>
      <c r="H11" s="87">
        <f t="shared" si="9"/>
        <v>0</v>
      </c>
      <c r="I11" s="276">
        <f t="shared" si="0"/>
        <v>1</v>
      </c>
      <c r="J11" s="88">
        <f t="shared" si="1"/>
        <v>-46415.3</v>
      </c>
      <c r="K11" s="91">
        <f t="shared" si="2"/>
        <v>0.06983366733466934</v>
      </c>
      <c r="L11" s="88"/>
      <c r="M11" s="88"/>
      <c r="N11" s="88"/>
      <c r="O11" s="88">
        <v>42516.41</v>
      </c>
      <c r="P11" s="88">
        <f t="shared" si="3"/>
        <v>7383.5899999999965</v>
      </c>
      <c r="Q11" s="91">
        <f t="shared" si="4"/>
        <v>1.1736644744934954</v>
      </c>
      <c r="R11" s="90">
        <v>2681.7</v>
      </c>
      <c r="S11" s="90">
        <f t="shared" si="5"/>
        <v>803</v>
      </c>
      <c r="T11" s="170">
        <f t="shared" si="6"/>
        <v>1.2994369243390387</v>
      </c>
      <c r="U11" s="89">
        <f t="shared" si="10"/>
        <v>3484.7</v>
      </c>
      <c r="V11" s="119">
        <f t="shared" si="11"/>
        <v>3484.7</v>
      </c>
      <c r="W11" s="90">
        <f t="shared" si="12"/>
        <v>0</v>
      </c>
      <c r="X11" s="91">
        <f t="shared" si="7"/>
        <v>1</v>
      </c>
      <c r="Y11" s="265">
        <f t="shared" si="8"/>
        <v>0.12577244984554325</v>
      </c>
    </row>
    <row r="12" spans="1:25" s="6" customFormat="1" ht="15" customHeight="1" hidden="1">
      <c r="A12" s="8"/>
      <c r="B12" s="99" t="s">
        <v>83</v>
      </c>
      <c r="C12" s="86">
        <v>11010400</v>
      </c>
      <c r="D12" s="342">
        <v>12000</v>
      </c>
      <c r="E12" s="87">
        <v>12000</v>
      </c>
      <c r="F12" s="87">
        <v>744.409</v>
      </c>
      <c r="G12" s="115">
        <v>744.39</v>
      </c>
      <c r="H12" s="87">
        <f t="shared" si="9"/>
        <v>-0.019000000000005457</v>
      </c>
      <c r="I12" s="276">
        <f t="shared" si="0"/>
        <v>0.999974476396712</v>
      </c>
      <c r="J12" s="88">
        <f t="shared" si="1"/>
        <v>-11255.61</v>
      </c>
      <c r="K12" s="91">
        <f t="shared" si="2"/>
        <v>0.0620325</v>
      </c>
      <c r="L12" s="88"/>
      <c r="M12" s="88"/>
      <c r="N12" s="88"/>
      <c r="O12" s="88">
        <v>11992.15</v>
      </c>
      <c r="P12" s="88">
        <f t="shared" si="3"/>
        <v>7.850000000000364</v>
      </c>
      <c r="Q12" s="91">
        <f t="shared" si="4"/>
        <v>1.0006545948808179</v>
      </c>
      <c r="R12" s="90">
        <v>500.43</v>
      </c>
      <c r="S12" s="90">
        <f t="shared" si="5"/>
        <v>243.95999999999998</v>
      </c>
      <c r="T12" s="170">
        <f t="shared" si="6"/>
        <v>1.487500749355554</v>
      </c>
      <c r="U12" s="89">
        <f t="shared" si="10"/>
        <v>744.409</v>
      </c>
      <c r="V12" s="119">
        <f t="shared" si="11"/>
        <v>744.39</v>
      </c>
      <c r="W12" s="90">
        <f t="shared" si="12"/>
        <v>-0.019000000000005457</v>
      </c>
      <c r="X12" s="91">
        <f t="shared" si="7"/>
        <v>0.999974476396712</v>
      </c>
      <c r="Y12" s="265">
        <f t="shared" si="8"/>
        <v>0.4868461544747362</v>
      </c>
    </row>
    <row r="13" spans="1:25" s="6" customFormat="1" ht="15" customHeight="1" hidden="1">
      <c r="A13" s="8"/>
      <c r="B13" s="99" t="s">
        <v>81</v>
      </c>
      <c r="C13" s="86">
        <v>11010500</v>
      </c>
      <c r="D13" s="342">
        <v>12000</v>
      </c>
      <c r="E13" s="87">
        <v>12000</v>
      </c>
      <c r="F13" s="87">
        <v>475.9</v>
      </c>
      <c r="G13" s="115">
        <v>475.87</v>
      </c>
      <c r="H13" s="87">
        <f t="shared" si="9"/>
        <v>-0.029999999999972715</v>
      </c>
      <c r="I13" s="276">
        <f t="shared" si="0"/>
        <v>0.9999369615465434</v>
      </c>
      <c r="J13" s="88">
        <f t="shared" si="1"/>
        <v>-11524.13</v>
      </c>
      <c r="K13" s="91">
        <f t="shared" si="2"/>
        <v>0.039655833333333335</v>
      </c>
      <c r="L13" s="88"/>
      <c r="M13" s="88"/>
      <c r="N13" s="88"/>
      <c r="O13" s="88">
        <v>10036.81</v>
      </c>
      <c r="P13" s="88">
        <f t="shared" si="3"/>
        <v>1963.1900000000005</v>
      </c>
      <c r="Q13" s="91">
        <f t="shared" si="4"/>
        <v>1.195599000080703</v>
      </c>
      <c r="R13" s="90">
        <v>499.36</v>
      </c>
      <c r="S13" s="90">
        <f t="shared" si="5"/>
        <v>-23.49000000000001</v>
      </c>
      <c r="T13" s="170">
        <f t="shared" si="6"/>
        <v>0.9529597885293175</v>
      </c>
      <c r="U13" s="89">
        <f t="shared" si="10"/>
        <v>475.9</v>
      </c>
      <c r="V13" s="119">
        <f t="shared" si="11"/>
        <v>475.87</v>
      </c>
      <c r="W13" s="90">
        <f t="shared" si="12"/>
        <v>-0.029999999999972715</v>
      </c>
      <c r="X13" s="91">
        <f t="shared" si="7"/>
        <v>0.9999369615465434</v>
      </c>
      <c r="Y13" s="265">
        <f t="shared" si="8"/>
        <v>-0.24263921155138557</v>
      </c>
    </row>
    <row r="14" spans="1:25" s="6" customFormat="1" ht="15" customHeight="1" hidden="1">
      <c r="A14" s="8"/>
      <c r="B14" s="99" t="s">
        <v>82</v>
      </c>
      <c r="C14" s="86">
        <v>11010900</v>
      </c>
      <c r="D14" s="342">
        <v>500</v>
      </c>
      <c r="E14" s="87">
        <v>500</v>
      </c>
      <c r="F14" s="87">
        <v>145.63</v>
      </c>
      <c r="G14" s="115">
        <v>145.63</v>
      </c>
      <c r="H14" s="87">
        <f t="shared" si="9"/>
        <v>0</v>
      </c>
      <c r="I14" s="276">
        <f t="shared" si="0"/>
        <v>1</v>
      </c>
      <c r="J14" s="88">
        <f t="shared" si="1"/>
        <v>-354.37</v>
      </c>
      <c r="K14" s="91">
        <f t="shared" si="2"/>
        <v>0.29125999999999996</v>
      </c>
      <c r="L14" s="88"/>
      <c r="M14" s="88"/>
      <c r="N14" s="88"/>
      <c r="O14" s="88">
        <v>1376.68</v>
      </c>
      <c r="P14" s="88">
        <f t="shared" si="3"/>
        <v>-876.6800000000001</v>
      </c>
      <c r="Q14" s="91">
        <f t="shared" si="4"/>
        <v>0.36319260830403577</v>
      </c>
      <c r="R14" s="90">
        <v>100.5</v>
      </c>
      <c r="S14" s="90">
        <f t="shared" si="5"/>
        <v>45.129999999999995</v>
      </c>
      <c r="T14" s="170">
        <f t="shared" si="6"/>
        <v>1.4490547263681592</v>
      </c>
      <c r="U14" s="89">
        <f t="shared" si="10"/>
        <v>145.63</v>
      </c>
      <c r="V14" s="119">
        <f t="shared" si="11"/>
        <v>145.63</v>
      </c>
      <c r="W14" s="90">
        <f t="shared" si="12"/>
        <v>0</v>
      </c>
      <c r="X14" s="91">
        <f t="shared" si="7"/>
        <v>1</v>
      </c>
      <c r="Y14" s="265">
        <f t="shared" si="8"/>
        <v>1.0858621180641235</v>
      </c>
    </row>
    <row r="15" spans="1:25" s="6" customFormat="1" ht="30.75">
      <c r="A15" s="8"/>
      <c r="B15" s="109" t="s">
        <v>11</v>
      </c>
      <c r="C15" s="38">
        <v>11020200</v>
      </c>
      <c r="D15" s="341">
        <v>900</v>
      </c>
      <c r="E15" s="123">
        <v>900</v>
      </c>
      <c r="F15" s="123">
        <v>0</v>
      </c>
      <c r="G15" s="127">
        <v>0</v>
      </c>
      <c r="H15" s="123">
        <f t="shared" si="9"/>
        <v>0</v>
      </c>
      <c r="I15" s="275" t="e">
        <f t="shared" si="0"/>
        <v>#DIV/0!</v>
      </c>
      <c r="J15" s="129">
        <f t="shared" si="1"/>
        <v>-900</v>
      </c>
      <c r="K15" s="129">
        <f aca="true" t="shared" si="13" ref="K15:K23">G15/E15*100</f>
        <v>0</v>
      </c>
      <c r="L15" s="129"/>
      <c r="M15" s="129"/>
      <c r="N15" s="129"/>
      <c r="O15" s="129">
        <v>887.61</v>
      </c>
      <c r="P15" s="129">
        <f t="shared" si="3"/>
        <v>12.389999999999986</v>
      </c>
      <c r="Q15" s="173">
        <f t="shared" si="4"/>
        <v>1.0139588332713692</v>
      </c>
      <c r="R15" s="132">
        <v>0</v>
      </c>
      <c r="S15" s="132">
        <f t="shared" si="5"/>
        <v>0</v>
      </c>
      <c r="T15" s="171" t="e">
        <f t="shared" si="6"/>
        <v>#DIV/0!</v>
      </c>
      <c r="U15" s="128">
        <f t="shared" si="10"/>
        <v>0</v>
      </c>
      <c r="V15" s="131">
        <f t="shared" si="11"/>
        <v>0</v>
      </c>
      <c r="W15" s="132">
        <f t="shared" si="12"/>
        <v>0</v>
      </c>
      <c r="X15" s="173" t="e">
        <f t="shared" si="7"/>
        <v>#DIV/0!</v>
      </c>
      <c r="Y15" s="264" t="e">
        <f t="shared" si="8"/>
        <v>#DIV/0!</v>
      </c>
    </row>
    <row r="16" spans="1:25" s="6" customFormat="1" ht="18" customHeight="1" hidden="1">
      <c r="A16" s="8"/>
      <c r="B16" s="262" t="s">
        <v>62</v>
      </c>
      <c r="C16" s="86">
        <v>11010232</v>
      </c>
      <c r="D16" s="86"/>
      <c r="E16" s="87"/>
      <c r="F16" s="123">
        <f>E16</f>
        <v>0</v>
      </c>
      <c r="G16" s="115">
        <v>0</v>
      </c>
      <c r="H16" s="123">
        <f t="shared" si="9"/>
        <v>0</v>
      </c>
      <c r="I16" s="275" t="e">
        <f>G16/F16/100</f>
        <v>#DIV/0!</v>
      </c>
      <c r="J16" s="129">
        <f t="shared" si="1"/>
        <v>0</v>
      </c>
      <c r="K16" s="129" t="e">
        <f t="shared" si="13"/>
        <v>#DIV/0!</v>
      </c>
      <c r="L16" s="129"/>
      <c r="M16" s="129"/>
      <c r="N16" s="129"/>
      <c r="O16" s="129"/>
      <c r="P16" s="129">
        <f t="shared" si="3"/>
        <v>0</v>
      </c>
      <c r="Q16" s="173" t="e">
        <f t="shared" si="4"/>
        <v>#DIV/0!</v>
      </c>
      <c r="R16" s="132">
        <f>O16</f>
        <v>0</v>
      </c>
      <c r="S16" s="132">
        <f t="shared" si="5"/>
        <v>0</v>
      </c>
      <c r="T16" s="171" t="e">
        <f t="shared" si="6"/>
        <v>#DIV/0!</v>
      </c>
      <c r="U16" s="128">
        <f t="shared" si="10"/>
        <v>0</v>
      </c>
      <c r="V16" s="131">
        <f t="shared" si="11"/>
        <v>0</v>
      </c>
      <c r="W16" s="132">
        <f t="shared" si="12"/>
        <v>0</v>
      </c>
      <c r="X16" s="173" t="e">
        <f>V16/U16*100</f>
        <v>#DIV/0!</v>
      </c>
      <c r="Y16" s="264" t="e">
        <f t="shared" si="8"/>
        <v>#DIV/0!</v>
      </c>
    </row>
    <row r="17" spans="1:25" s="6" customFormat="1" ht="30.75" customHeight="1" hidden="1">
      <c r="A17" s="8"/>
      <c r="B17" s="185" t="s">
        <v>107</v>
      </c>
      <c r="C17" s="98">
        <v>13010200</v>
      </c>
      <c r="D17" s="98"/>
      <c r="E17" s="133"/>
      <c r="F17" s="123">
        <f>E17</f>
        <v>0</v>
      </c>
      <c r="G17" s="134">
        <v>0</v>
      </c>
      <c r="H17" s="123">
        <f t="shared" si="9"/>
        <v>0</v>
      </c>
      <c r="I17" s="275"/>
      <c r="J17" s="129">
        <f t="shared" si="1"/>
        <v>0</v>
      </c>
      <c r="K17" s="129"/>
      <c r="L17" s="129"/>
      <c r="M17" s="129"/>
      <c r="N17" s="129"/>
      <c r="O17" s="129">
        <v>0.49</v>
      </c>
      <c r="P17" s="129">
        <f t="shared" si="3"/>
        <v>-0.49</v>
      </c>
      <c r="Q17" s="173">
        <f t="shared" si="4"/>
        <v>0</v>
      </c>
      <c r="R17" s="132">
        <v>0</v>
      </c>
      <c r="S17" s="132">
        <f t="shared" si="5"/>
        <v>0</v>
      </c>
      <c r="T17" s="171" t="e">
        <f t="shared" si="6"/>
        <v>#DIV/0!</v>
      </c>
      <c r="U17" s="128">
        <f t="shared" si="10"/>
        <v>0</v>
      </c>
      <c r="V17" s="131">
        <f t="shared" si="11"/>
        <v>0</v>
      </c>
      <c r="W17" s="132">
        <f t="shared" si="12"/>
        <v>0</v>
      </c>
      <c r="X17" s="173"/>
      <c r="Y17" s="264" t="e">
        <f t="shared" si="8"/>
        <v>#DIV/0!</v>
      </c>
    </row>
    <row r="18" spans="1:25" s="6" customFormat="1" ht="30.75">
      <c r="A18" s="8"/>
      <c r="B18" s="108" t="s">
        <v>108</v>
      </c>
      <c r="C18" s="98">
        <v>13030200</v>
      </c>
      <c r="D18" s="343">
        <v>235.6</v>
      </c>
      <c r="E18" s="123">
        <v>235.6</v>
      </c>
      <c r="F18" s="123">
        <v>0</v>
      </c>
      <c r="G18" s="127">
        <v>0</v>
      </c>
      <c r="H18" s="123">
        <f t="shared" si="9"/>
        <v>0</v>
      </c>
      <c r="I18" s="275" t="e">
        <f aca="true" t="shared" si="14" ref="I18:I41">G18/F18</f>
        <v>#DIV/0!</v>
      </c>
      <c r="J18" s="129">
        <f t="shared" si="1"/>
        <v>-235.6</v>
      </c>
      <c r="K18" s="129">
        <f t="shared" si="13"/>
        <v>0</v>
      </c>
      <c r="L18" s="129"/>
      <c r="M18" s="129"/>
      <c r="N18" s="129"/>
      <c r="O18" s="129">
        <v>220.59</v>
      </c>
      <c r="P18" s="129">
        <f t="shared" si="3"/>
        <v>15.009999999999991</v>
      </c>
      <c r="Q18" s="173">
        <f t="shared" si="4"/>
        <v>1.0680447889750215</v>
      </c>
      <c r="R18" s="132">
        <v>0</v>
      </c>
      <c r="S18" s="132">
        <f t="shared" si="5"/>
        <v>0</v>
      </c>
      <c r="T18" s="171" t="e">
        <f t="shared" si="6"/>
        <v>#DIV/0!</v>
      </c>
      <c r="U18" s="128">
        <f t="shared" si="10"/>
        <v>0</v>
      </c>
      <c r="V18" s="131">
        <f t="shared" si="11"/>
        <v>0</v>
      </c>
      <c r="W18" s="132">
        <f t="shared" si="12"/>
        <v>0</v>
      </c>
      <c r="X18" s="173" t="e">
        <f aca="true" t="shared" si="15" ref="X18:X25">V18/U18</f>
        <v>#DIV/0!</v>
      </c>
      <c r="Y18" s="264" t="e">
        <f t="shared" si="8"/>
        <v>#DIV/0!</v>
      </c>
    </row>
    <row r="19" spans="1:25" s="6" customFormat="1" ht="18">
      <c r="A19" s="8"/>
      <c r="B19" s="108" t="s">
        <v>120</v>
      </c>
      <c r="C19" s="38"/>
      <c r="D19" s="150">
        <f>D20+D21+D22</f>
        <v>151728</v>
      </c>
      <c r="E19" s="123">
        <v>151728</v>
      </c>
      <c r="F19" s="123">
        <f>F20+F21+F22</f>
        <v>4989.58</v>
      </c>
      <c r="G19" s="184">
        <v>4989.58</v>
      </c>
      <c r="H19" s="123">
        <f t="shared" si="9"/>
        <v>0</v>
      </c>
      <c r="I19" s="275">
        <f t="shared" si="14"/>
        <v>1</v>
      </c>
      <c r="J19" s="129">
        <f t="shared" si="1"/>
        <v>-146738.42</v>
      </c>
      <c r="K19" s="129">
        <f t="shared" si="13"/>
        <v>3.288503110829906</v>
      </c>
      <c r="L19" s="129"/>
      <c r="M19" s="129"/>
      <c r="N19" s="129"/>
      <c r="O19" s="129">
        <v>121950.14</v>
      </c>
      <c r="P19" s="129">
        <f t="shared" si="3"/>
        <v>29777.86</v>
      </c>
      <c r="Q19" s="173">
        <f t="shared" si="4"/>
        <v>1.2441806134867905</v>
      </c>
      <c r="R19" s="132">
        <v>9751.75</v>
      </c>
      <c r="S19" s="132">
        <f t="shared" si="5"/>
        <v>-4762.17</v>
      </c>
      <c r="T19" s="171">
        <f t="shared" si="6"/>
        <v>0.5116599584689927</v>
      </c>
      <c r="U19" s="128">
        <f t="shared" si="10"/>
        <v>4989.58</v>
      </c>
      <c r="V19" s="131">
        <f t="shared" si="11"/>
        <v>4989.58</v>
      </c>
      <c r="W19" s="132">
        <f t="shared" si="12"/>
        <v>0</v>
      </c>
      <c r="X19" s="173">
        <f t="shared" si="15"/>
        <v>1</v>
      </c>
      <c r="Y19" s="264">
        <f t="shared" si="8"/>
        <v>-0.7325206550177978</v>
      </c>
    </row>
    <row r="20" spans="1:25" s="6" customFormat="1" ht="61.5">
      <c r="A20" s="8"/>
      <c r="B20" s="203" t="s">
        <v>126</v>
      </c>
      <c r="C20" s="101">
        <v>14040000</v>
      </c>
      <c r="D20" s="342">
        <v>66708</v>
      </c>
      <c r="E20" s="204">
        <v>66708</v>
      </c>
      <c r="F20" s="204">
        <v>4989.58</v>
      </c>
      <c r="G20" s="165">
        <v>4989.58</v>
      </c>
      <c r="H20" s="204">
        <f t="shared" si="9"/>
        <v>0</v>
      </c>
      <c r="I20" s="278">
        <f t="shared" si="14"/>
        <v>1</v>
      </c>
      <c r="J20" s="205">
        <f t="shared" si="1"/>
        <v>-61718.42</v>
      </c>
      <c r="K20" s="205">
        <f t="shared" si="13"/>
        <v>7.479732565809198</v>
      </c>
      <c r="L20" s="205"/>
      <c r="M20" s="205"/>
      <c r="N20" s="205"/>
      <c r="O20" s="205">
        <v>60736.45</v>
      </c>
      <c r="P20" s="205">
        <f t="shared" si="3"/>
        <v>5971.550000000003</v>
      </c>
      <c r="Q20" s="230">
        <f t="shared" si="4"/>
        <v>1.098319048940134</v>
      </c>
      <c r="R20" s="137">
        <v>9751.75</v>
      </c>
      <c r="S20" s="137">
        <f t="shared" si="5"/>
        <v>-4762.17</v>
      </c>
      <c r="T20" s="206">
        <f t="shared" si="6"/>
        <v>0.5116599584689927</v>
      </c>
      <c r="U20" s="160">
        <f t="shared" si="10"/>
        <v>4989.58</v>
      </c>
      <c r="V20" s="145">
        <f t="shared" si="11"/>
        <v>4989.58</v>
      </c>
      <c r="W20" s="137">
        <f t="shared" si="12"/>
        <v>0</v>
      </c>
      <c r="X20" s="230">
        <f t="shared" si="15"/>
        <v>1</v>
      </c>
      <c r="Y20" s="264">
        <f t="shared" si="8"/>
        <v>-0.5866590904711413</v>
      </c>
    </row>
    <row r="21" spans="1:25" s="6" customFormat="1" ht="18">
      <c r="A21" s="8"/>
      <c r="B21" s="203" t="s">
        <v>118</v>
      </c>
      <c r="C21" s="101">
        <v>14021900</v>
      </c>
      <c r="D21" s="342">
        <v>15696</v>
      </c>
      <c r="E21" s="204">
        <v>15696</v>
      </c>
      <c r="F21" s="204">
        <v>0</v>
      </c>
      <c r="G21" s="165">
        <v>0</v>
      </c>
      <c r="H21" s="204">
        <f t="shared" si="9"/>
        <v>0</v>
      </c>
      <c r="I21" s="278" t="e">
        <f t="shared" si="14"/>
        <v>#DIV/0!</v>
      </c>
      <c r="J21" s="205">
        <f t="shared" si="1"/>
        <v>-15696</v>
      </c>
      <c r="K21" s="205">
        <f t="shared" si="13"/>
        <v>0</v>
      </c>
      <c r="L21" s="205"/>
      <c r="M21" s="205"/>
      <c r="N21" s="205"/>
      <c r="O21" s="205">
        <v>12528.71</v>
      </c>
      <c r="P21" s="205">
        <f t="shared" si="3"/>
        <v>3167.290000000001</v>
      </c>
      <c r="Q21" s="230">
        <f t="shared" si="4"/>
        <v>1.2528025630731336</v>
      </c>
      <c r="R21" s="137">
        <v>0</v>
      </c>
      <c r="S21" s="137">
        <f t="shared" si="5"/>
        <v>0</v>
      </c>
      <c r="T21" s="206"/>
      <c r="U21" s="160">
        <f t="shared" si="10"/>
        <v>0</v>
      </c>
      <c r="V21" s="145">
        <f t="shared" si="11"/>
        <v>0</v>
      </c>
      <c r="W21" s="137">
        <f t="shared" si="12"/>
        <v>0</v>
      </c>
      <c r="X21" s="230" t="e">
        <f t="shared" si="15"/>
        <v>#DIV/0!</v>
      </c>
      <c r="Y21" s="264">
        <f t="shared" si="8"/>
        <v>-1.2528025630731336</v>
      </c>
    </row>
    <row r="22" spans="1:28" s="6" customFormat="1" ht="18">
      <c r="A22" s="8"/>
      <c r="B22" s="203" t="s">
        <v>119</v>
      </c>
      <c r="C22" s="101">
        <v>14031900</v>
      </c>
      <c r="D22" s="342">
        <v>69324</v>
      </c>
      <c r="E22" s="204">
        <v>69324</v>
      </c>
      <c r="F22" s="204">
        <v>0</v>
      </c>
      <c r="G22" s="165">
        <v>0</v>
      </c>
      <c r="H22" s="204">
        <f t="shared" si="9"/>
        <v>0</v>
      </c>
      <c r="I22" s="278" t="e">
        <f t="shared" si="14"/>
        <v>#DIV/0!</v>
      </c>
      <c r="J22" s="205">
        <f t="shared" si="1"/>
        <v>-69324</v>
      </c>
      <c r="K22" s="205">
        <f t="shared" si="13"/>
        <v>0</v>
      </c>
      <c r="L22" s="205"/>
      <c r="M22" s="205"/>
      <c r="N22" s="205"/>
      <c r="O22" s="205">
        <v>48684.98</v>
      </c>
      <c r="P22" s="205">
        <f t="shared" si="3"/>
        <v>20639.019999999997</v>
      </c>
      <c r="Q22" s="230">
        <f t="shared" si="4"/>
        <v>1.4239299266426728</v>
      </c>
      <c r="R22" s="137">
        <v>0</v>
      </c>
      <c r="S22" s="137">
        <f t="shared" si="5"/>
        <v>0</v>
      </c>
      <c r="T22" s="206"/>
      <c r="U22" s="160">
        <f t="shared" si="10"/>
        <v>0</v>
      </c>
      <c r="V22" s="145">
        <f t="shared" si="11"/>
        <v>0</v>
      </c>
      <c r="W22" s="137">
        <f t="shared" si="12"/>
        <v>0</v>
      </c>
      <c r="X22" s="230" t="e">
        <f t="shared" si="15"/>
        <v>#DIV/0!</v>
      </c>
      <c r="Y22" s="264">
        <f t="shared" si="8"/>
        <v>-1.4239299266426728</v>
      </c>
      <c r="AB22" s="122"/>
    </row>
    <row r="23" spans="1:28" s="6" customFormat="1" ht="18">
      <c r="A23" s="8"/>
      <c r="B23" s="263" t="s">
        <v>68</v>
      </c>
      <c r="C23" s="38">
        <v>18000000</v>
      </c>
      <c r="D23" s="123">
        <f>D24+D43+D47+D42</f>
        <v>471567.19999999995</v>
      </c>
      <c r="E23" s="123">
        <f>E24+E43+E47+E42</f>
        <v>471567.19999999995</v>
      </c>
      <c r="F23" s="123">
        <f>F24+F43+F47+F42</f>
        <v>43208.1</v>
      </c>
      <c r="G23" s="184">
        <v>43208.14</v>
      </c>
      <c r="H23" s="123">
        <f t="shared" si="9"/>
        <v>0.040000000000873115</v>
      </c>
      <c r="I23" s="275">
        <f t="shared" si="14"/>
        <v>1.0000009257523474</v>
      </c>
      <c r="J23" s="129">
        <f t="shared" si="1"/>
        <v>-428359.05999999994</v>
      </c>
      <c r="K23" s="129">
        <f t="shared" si="13"/>
        <v>9.162668650406559</v>
      </c>
      <c r="L23" s="129"/>
      <c r="M23" s="129"/>
      <c r="N23" s="129"/>
      <c r="O23" s="129">
        <v>430705.5</v>
      </c>
      <c r="P23" s="129">
        <f aca="true" t="shared" si="16" ref="P23:P51">E23-O23</f>
        <v>40861.69999999995</v>
      </c>
      <c r="Q23" s="173">
        <f aca="true" t="shared" si="17" ref="Q23:Q51">E23/O23</f>
        <v>1.0948715537646954</v>
      </c>
      <c r="R23" s="129">
        <v>37180.29</v>
      </c>
      <c r="S23" s="132">
        <f t="shared" si="5"/>
        <v>6027.8499999999985</v>
      </c>
      <c r="T23" s="172">
        <f aca="true" t="shared" si="18" ref="T23:T41">G23/R23</f>
        <v>1.1621248785310712</v>
      </c>
      <c r="U23" s="128">
        <f t="shared" si="10"/>
        <v>43208.1</v>
      </c>
      <c r="V23" s="131">
        <f t="shared" si="11"/>
        <v>43208.14</v>
      </c>
      <c r="W23" s="132">
        <f t="shared" si="12"/>
        <v>0.040000000000873115</v>
      </c>
      <c r="X23" s="173">
        <f t="shared" si="15"/>
        <v>1.0000009257523474</v>
      </c>
      <c r="Y23" s="264">
        <f>T23-Q23</f>
        <v>0.0672533247663758</v>
      </c>
      <c r="AB23" s="122"/>
    </row>
    <row r="24" spans="1:28" s="6" customFormat="1" ht="18">
      <c r="A24" s="8"/>
      <c r="B24" s="39" t="s">
        <v>76</v>
      </c>
      <c r="C24" s="95">
        <v>18010000</v>
      </c>
      <c r="D24" s="123">
        <f>D25+D32+D35</f>
        <v>216842</v>
      </c>
      <c r="E24" s="123">
        <f>E25+E32+E35</f>
        <v>216842</v>
      </c>
      <c r="F24" s="123">
        <f>F25+F32+F35</f>
        <v>18151.51</v>
      </c>
      <c r="G24" s="184">
        <f>G25+G32+G35</f>
        <v>18152.42</v>
      </c>
      <c r="H24" s="123">
        <f t="shared" si="9"/>
        <v>0.9099999999998545</v>
      </c>
      <c r="I24" s="275">
        <f t="shared" si="14"/>
        <v>1.0000501335701548</v>
      </c>
      <c r="J24" s="129">
        <f t="shared" si="1"/>
        <v>-198689.58000000002</v>
      </c>
      <c r="K24" s="173">
        <f aca="true" t="shared" si="19" ref="K24:K41">G24/E24</f>
        <v>0.08371265714206656</v>
      </c>
      <c r="L24" s="129"/>
      <c r="M24" s="129"/>
      <c r="N24" s="129"/>
      <c r="O24" s="129">
        <v>207231.03</v>
      </c>
      <c r="P24" s="129">
        <f t="shared" si="16"/>
        <v>9610.970000000001</v>
      </c>
      <c r="Q24" s="173">
        <f t="shared" si="17"/>
        <v>1.0463780448323787</v>
      </c>
      <c r="R24" s="129">
        <v>16520.28</v>
      </c>
      <c r="S24" s="132">
        <f t="shared" si="5"/>
        <v>1632.1399999999994</v>
      </c>
      <c r="T24" s="172">
        <f t="shared" si="18"/>
        <v>1.0987961463122902</v>
      </c>
      <c r="U24" s="128">
        <f t="shared" si="10"/>
        <v>18151.51</v>
      </c>
      <c r="V24" s="131">
        <f t="shared" si="11"/>
        <v>18152.42</v>
      </c>
      <c r="W24" s="132">
        <f t="shared" si="12"/>
        <v>0.9099999999998545</v>
      </c>
      <c r="X24" s="173">
        <f t="shared" si="15"/>
        <v>1.0000501335701548</v>
      </c>
      <c r="Y24" s="264">
        <f aca="true" t="shared" si="20" ref="Y24:Y99">T24-Q24</f>
        <v>0.05241810147991144</v>
      </c>
      <c r="AB24" s="339"/>
    </row>
    <row r="25" spans="1:26" s="6" customFormat="1" ht="18">
      <c r="A25" s="8"/>
      <c r="B25" s="45" t="s">
        <v>69</v>
      </c>
      <c r="C25" s="101"/>
      <c r="D25" s="364">
        <f>D26+D27</f>
        <v>28784</v>
      </c>
      <c r="E25" s="204">
        <f>E26+E27</f>
        <v>28784</v>
      </c>
      <c r="F25" s="204">
        <f>F26+F27</f>
        <v>4641</v>
      </c>
      <c r="G25" s="165">
        <v>4641.89</v>
      </c>
      <c r="H25" s="204">
        <f t="shared" si="9"/>
        <v>0.8900000000003274</v>
      </c>
      <c r="I25" s="278">
        <f t="shared" si="14"/>
        <v>1.0001917690152986</v>
      </c>
      <c r="J25" s="205">
        <f t="shared" si="1"/>
        <v>-24142.11</v>
      </c>
      <c r="K25" s="230">
        <f t="shared" si="19"/>
        <v>0.16126632851584213</v>
      </c>
      <c r="L25" s="205"/>
      <c r="M25" s="205"/>
      <c r="N25" s="205"/>
      <c r="O25" s="205">
        <v>25414.16</v>
      </c>
      <c r="P25" s="205">
        <f t="shared" si="16"/>
        <v>3369.84</v>
      </c>
      <c r="Q25" s="230">
        <f t="shared" si="17"/>
        <v>1.1325969459545386</v>
      </c>
      <c r="R25" s="229">
        <v>3819.61</v>
      </c>
      <c r="S25" s="137">
        <f t="shared" si="5"/>
        <v>822.2800000000002</v>
      </c>
      <c r="T25" s="177">
        <f t="shared" si="18"/>
        <v>1.2152785232000125</v>
      </c>
      <c r="U25" s="128">
        <f t="shared" si="10"/>
        <v>4641</v>
      </c>
      <c r="V25" s="131">
        <f t="shared" si="11"/>
        <v>4641.89</v>
      </c>
      <c r="W25" s="137">
        <f t="shared" si="12"/>
        <v>0.8900000000003274</v>
      </c>
      <c r="X25" s="230">
        <f t="shared" si="15"/>
        <v>1.0001917690152986</v>
      </c>
      <c r="Y25" s="264">
        <f t="shared" si="20"/>
        <v>0.08268157724547387</v>
      </c>
      <c r="Z25" s="122"/>
    </row>
    <row r="26" spans="1:26" s="6" customFormat="1" ht="18" customHeight="1" hidden="1">
      <c r="A26" s="8"/>
      <c r="B26" s="161" t="s">
        <v>101</v>
      </c>
      <c r="C26" s="162"/>
      <c r="D26" s="163">
        <f>D28+D29</f>
        <v>1522</v>
      </c>
      <c r="E26" s="163">
        <f>E28+E29</f>
        <v>1522</v>
      </c>
      <c r="F26" s="163">
        <f>F28+F29</f>
        <v>155.11</v>
      </c>
      <c r="G26" s="163">
        <f>G28+G29</f>
        <v>155.11</v>
      </c>
      <c r="H26" s="184">
        <f t="shared" si="9"/>
        <v>0</v>
      </c>
      <c r="I26" s="279">
        <f t="shared" si="14"/>
        <v>1</v>
      </c>
      <c r="J26" s="226">
        <f t="shared" si="1"/>
        <v>-1366.8899999999999</v>
      </c>
      <c r="K26" s="243">
        <f t="shared" si="19"/>
        <v>0.10191195795006572</v>
      </c>
      <c r="L26" s="226"/>
      <c r="M26" s="226"/>
      <c r="N26" s="226"/>
      <c r="O26" s="226">
        <f>O28+O29</f>
        <v>1512.89</v>
      </c>
      <c r="P26" s="226">
        <f t="shared" si="16"/>
        <v>9.1099999999999</v>
      </c>
      <c r="Q26" s="243">
        <f t="shared" si="17"/>
        <v>1.006021587821983</v>
      </c>
      <c r="R26" s="164">
        <f>R28+R29</f>
        <v>120.37</v>
      </c>
      <c r="S26" s="268">
        <f t="shared" si="5"/>
        <v>34.74000000000001</v>
      </c>
      <c r="T26" s="188">
        <f t="shared" si="18"/>
        <v>1.2886101188003656</v>
      </c>
      <c r="U26" s="194">
        <f t="shared" si="10"/>
        <v>155.11</v>
      </c>
      <c r="V26" s="194">
        <f t="shared" si="11"/>
        <v>155.11</v>
      </c>
      <c r="W26" s="226">
        <f t="shared" si="12"/>
        <v>0</v>
      </c>
      <c r="X26" s="243">
        <f aca="true" t="shared" si="21" ref="X26:X41">V26/U26</f>
        <v>1</v>
      </c>
      <c r="Y26" s="264">
        <f t="shared" si="20"/>
        <v>0.28258853097838266</v>
      </c>
      <c r="Z26" s="122"/>
    </row>
    <row r="27" spans="1:26" s="6" customFormat="1" ht="18" customHeight="1" hidden="1">
      <c r="A27" s="8"/>
      <c r="B27" s="161" t="s">
        <v>102</v>
      </c>
      <c r="C27" s="162"/>
      <c r="D27" s="163">
        <f>D30+D31</f>
        <v>27262</v>
      </c>
      <c r="E27" s="163">
        <f>E30+E31</f>
        <v>27262</v>
      </c>
      <c r="F27" s="163">
        <f>F30+F31</f>
        <v>4485.89</v>
      </c>
      <c r="G27" s="163">
        <f>G30+G31</f>
        <v>4486.79</v>
      </c>
      <c r="H27" s="184">
        <f t="shared" si="9"/>
        <v>0.8999999999996362</v>
      </c>
      <c r="I27" s="279">
        <f t="shared" si="14"/>
        <v>1.0002006290836378</v>
      </c>
      <c r="J27" s="226">
        <f t="shared" si="1"/>
        <v>-22775.21</v>
      </c>
      <c r="K27" s="243">
        <f t="shared" si="19"/>
        <v>0.16458036827818942</v>
      </c>
      <c r="L27" s="226"/>
      <c r="M27" s="226"/>
      <c r="N27" s="226"/>
      <c r="O27" s="226">
        <f>O30+O31</f>
        <v>23901.28</v>
      </c>
      <c r="P27" s="226">
        <f t="shared" si="16"/>
        <v>3360.720000000001</v>
      </c>
      <c r="Q27" s="243">
        <f t="shared" si="17"/>
        <v>1.1406083690915299</v>
      </c>
      <c r="R27" s="164">
        <f>R30+R31</f>
        <v>3699.25</v>
      </c>
      <c r="S27" s="268">
        <f t="shared" si="5"/>
        <v>787.54</v>
      </c>
      <c r="T27" s="188">
        <f t="shared" si="18"/>
        <v>1.212891802392377</v>
      </c>
      <c r="U27" s="194">
        <f t="shared" si="10"/>
        <v>4485.89</v>
      </c>
      <c r="V27" s="194">
        <f t="shared" si="11"/>
        <v>4486.79</v>
      </c>
      <c r="W27" s="226">
        <f t="shared" si="12"/>
        <v>0.8999999999996362</v>
      </c>
      <c r="X27" s="243">
        <f t="shared" si="21"/>
        <v>1.0002006290836378</v>
      </c>
      <c r="Y27" s="264">
        <f t="shared" si="20"/>
        <v>0.07228343330084708</v>
      </c>
      <c r="Z27" s="122"/>
    </row>
    <row r="28" spans="1:25" s="6" customFormat="1" ht="18" customHeight="1" hidden="1">
      <c r="A28" s="8"/>
      <c r="B28" s="272" t="s">
        <v>134</v>
      </c>
      <c r="C28" s="162">
        <v>18010100</v>
      </c>
      <c r="D28" s="355">
        <v>316</v>
      </c>
      <c r="E28" s="355">
        <v>316</v>
      </c>
      <c r="F28" s="286">
        <v>29.3</v>
      </c>
      <c r="G28" s="273">
        <v>29.3</v>
      </c>
      <c r="H28" s="285">
        <f t="shared" si="9"/>
        <v>0</v>
      </c>
      <c r="I28" s="287">
        <f t="shared" si="14"/>
        <v>1</v>
      </c>
      <c r="J28" s="288">
        <f t="shared" si="1"/>
        <v>-286.7</v>
      </c>
      <c r="K28" s="289">
        <f t="shared" si="19"/>
        <v>0.09272151898734178</v>
      </c>
      <c r="L28" s="226"/>
      <c r="M28" s="226"/>
      <c r="N28" s="226"/>
      <c r="O28" s="288">
        <v>275.91</v>
      </c>
      <c r="P28" s="288">
        <f t="shared" si="16"/>
        <v>40.089999999999975</v>
      </c>
      <c r="Q28" s="289">
        <f t="shared" si="17"/>
        <v>1.1453010039505636</v>
      </c>
      <c r="R28" s="288">
        <v>108.25</v>
      </c>
      <c r="S28" s="288">
        <f t="shared" si="5"/>
        <v>-78.95</v>
      </c>
      <c r="T28" s="289">
        <f t="shared" si="18"/>
        <v>0.2706697459584296</v>
      </c>
      <c r="U28" s="273">
        <f t="shared" si="10"/>
        <v>29.3</v>
      </c>
      <c r="V28" s="273">
        <f t="shared" si="11"/>
        <v>29.3</v>
      </c>
      <c r="W28" s="288">
        <f t="shared" si="12"/>
        <v>0</v>
      </c>
      <c r="X28" s="289">
        <f t="shared" si="21"/>
        <v>1</v>
      </c>
      <c r="Y28" s="264"/>
    </row>
    <row r="29" spans="1:25" s="6" customFormat="1" ht="18" customHeight="1" hidden="1">
      <c r="A29" s="8"/>
      <c r="B29" s="272" t="s">
        <v>132</v>
      </c>
      <c r="C29" s="162">
        <v>18010200</v>
      </c>
      <c r="D29" s="355">
        <v>1206</v>
      </c>
      <c r="E29" s="355">
        <v>1206</v>
      </c>
      <c r="F29" s="286">
        <v>125.81</v>
      </c>
      <c r="G29" s="273">
        <v>125.81</v>
      </c>
      <c r="H29" s="285">
        <f t="shared" si="9"/>
        <v>0</v>
      </c>
      <c r="I29" s="287">
        <f t="shared" si="14"/>
        <v>1</v>
      </c>
      <c r="J29" s="288">
        <f t="shared" si="1"/>
        <v>-1080.19</v>
      </c>
      <c r="K29" s="289">
        <f t="shared" si="19"/>
        <v>0.1043200663349917</v>
      </c>
      <c r="L29" s="226"/>
      <c r="M29" s="226"/>
      <c r="N29" s="226"/>
      <c r="O29" s="288">
        <v>1236.98</v>
      </c>
      <c r="P29" s="288">
        <f t="shared" si="16"/>
        <v>-30.980000000000018</v>
      </c>
      <c r="Q29" s="289">
        <f t="shared" si="17"/>
        <v>0.9749551326618053</v>
      </c>
      <c r="R29" s="288">
        <v>12.12</v>
      </c>
      <c r="S29" s="288">
        <f t="shared" si="5"/>
        <v>113.69</v>
      </c>
      <c r="T29" s="289">
        <f t="shared" si="18"/>
        <v>10.380363036303631</v>
      </c>
      <c r="U29" s="273">
        <f t="shared" si="10"/>
        <v>125.81</v>
      </c>
      <c r="V29" s="273">
        <f t="shared" si="11"/>
        <v>125.81</v>
      </c>
      <c r="W29" s="288">
        <f t="shared" si="12"/>
        <v>0</v>
      </c>
      <c r="X29" s="289">
        <f t="shared" si="21"/>
        <v>1</v>
      </c>
      <c r="Y29" s="264"/>
    </row>
    <row r="30" spans="1:25" s="6" customFormat="1" ht="18" customHeight="1" hidden="1">
      <c r="A30" s="8"/>
      <c r="B30" s="272" t="s">
        <v>133</v>
      </c>
      <c r="C30" s="162">
        <v>18010300</v>
      </c>
      <c r="D30" s="355">
        <v>2355</v>
      </c>
      <c r="E30" s="355">
        <v>2355</v>
      </c>
      <c r="F30" s="286">
        <f>280.99-0.9</f>
        <v>280.09000000000003</v>
      </c>
      <c r="G30" s="273">
        <v>280.99</v>
      </c>
      <c r="H30" s="285">
        <f t="shared" si="9"/>
        <v>0.8999999999999773</v>
      </c>
      <c r="I30" s="287">
        <f t="shared" si="14"/>
        <v>1.0032132528830018</v>
      </c>
      <c r="J30" s="288">
        <f t="shared" si="1"/>
        <v>-2074.01</v>
      </c>
      <c r="K30" s="289">
        <f t="shared" si="19"/>
        <v>0.11931634819532909</v>
      </c>
      <c r="L30" s="226"/>
      <c r="M30" s="226"/>
      <c r="N30" s="226"/>
      <c r="O30" s="288">
        <v>2220.25</v>
      </c>
      <c r="P30" s="288">
        <f t="shared" si="16"/>
        <v>134.75</v>
      </c>
      <c r="Q30" s="289">
        <f t="shared" si="17"/>
        <v>1.0606913635851818</v>
      </c>
      <c r="R30" s="288">
        <v>17.34</v>
      </c>
      <c r="S30" s="288">
        <f t="shared" si="5"/>
        <v>263.65000000000003</v>
      </c>
      <c r="T30" s="289">
        <f t="shared" si="18"/>
        <v>16.20472895040369</v>
      </c>
      <c r="U30" s="273">
        <f t="shared" si="10"/>
        <v>280.09000000000003</v>
      </c>
      <c r="V30" s="273">
        <f t="shared" si="11"/>
        <v>280.99</v>
      </c>
      <c r="W30" s="288">
        <f t="shared" si="12"/>
        <v>0.8999999999999773</v>
      </c>
      <c r="X30" s="289">
        <f t="shared" si="21"/>
        <v>1.0032132528830018</v>
      </c>
      <c r="Y30" s="264"/>
    </row>
    <row r="31" spans="1:25" s="6" customFormat="1" ht="18" customHeight="1" hidden="1">
      <c r="A31" s="8"/>
      <c r="B31" s="272" t="s">
        <v>135</v>
      </c>
      <c r="C31" s="162">
        <v>18010400</v>
      </c>
      <c r="D31" s="355">
        <v>24907</v>
      </c>
      <c r="E31" s="355">
        <v>24907</v>
      </c>
      <c r="F31" s="286">
        <v>4205.8</v>
      </c>
      <c r="G31" s="273">
        <v>4205.8</v>
      </c>
      <c r="H31" s="285">
        <f t="shared" si="9"/>
        <v>0</v>
      </c>
      <c r="I31" s="287">
        <f t="shared" si="14"/>
        <v>1</v>
      </c>
      <c r="J31" s="288">
        <f t="shared" si="1"/>
        <v>-20701.2</v>
      </c>
      <c r="K31" s="289">
        <f t="shared" si="19"/>
        <v>0.1688601597944353</v>
      </c>
      <c r="L31" s="226"/>
      <c r="M31" s="226"/>
      <c r="N31" s="226"/>
      <c r="O31" s="288">
        <v>21681.03</v>
      </c>
      <c r="P31" s="288">
        <f t="shared" si="16"/>
        <v>3225.970000000001</v>
      </c>
      <c r="Q31" s="289">
        <f t="shared" si="17"/>
        <v>1.148792285237371</v>
      </c>
      <c r="R31" s="288">
        <v>3681.91</v>
      </c>
      <c r="S31" s="288">
        <f t="shared" si="5"/>
        <v>523.8900000000003</v>
      </c>
      <c r="T31" s="289">
        <f t="shared" si="18"/>
        <v>1.1422875627052265</v>
      </c>
      <c r="U31" s="273">
        <f t="shared" si="10"/>
        <v>4205.8</v>
      </c>
      <c r="V31" s="273">
        <f t="shared" si="11"/>
        <v>4205.8</v>
      </c>
      <c r="W31" s="288"/>
      <c r="X31" s="289">
        <f t="shared" si="21"/>
        <v>1</v>
      </c>
      <c r="Y31" s="264"/>
    </row>
    <row r="32" spans="1:25" s="6" customFormat="1" ht="18">
      <c r="A32" s="8"/>
      <c r="B32" s="45" t="s">
        <v>70</v>
      </c>
      <c r="C32" s="101"/>
      <c r="D32" s="344">
        <f>D33+D34</f>
        <v>282</v>
      </c>
      <c r="E32" s="140">
        <f>E33+E34</f>
        <v>282</v>
      </c>
      <c r="F32" s="140">
        <f>F33+F34</f>
        <v>157.03</v>
      </c>
      <c r="G32" s="141">
        <v>157.03</v>
      </c>
      <c r="H32" s="204">
        <f t="shared" si="9"/>
        <v>0</v>
      </c>
      <c r="I32" s="278">
        <f t="shared" si="14"/>
        <v>1</v>
      </c>
      <c r="J32" s="205">
        <f t="shared" si="1"/>
        <v>-124.97</v>
      </c>
      <c r="K32" s="230">
        <f t="shared" si="19"/>
        <v>0.5568439716312057</v>
      </c>
      <c r="L32" s="205"/>
      <c r="M32" s="205"/>
      <c r="N32" s="205"/>
      <c r="O32" s="205">
        <v>645.26</v>
      </c>
      <c r="P32" s="205">
        <f t="shared" si="16"/>
        <v>-363.26</v>
      </c>
      <c r="Q32" s="230">
        <f t="shared" si="17"/>
        <v>0.43703313393050863</v>
      </c>
      <c r="R32" s="142">
        <v>52.08</v>
      </c>
      <c r="S32" s="142">
        <f t="shared" si="5"/>
        <v>104.95</v>
      </c>
      <c r="T32" s="175">
        <f t="shared" si="18"/>
        <v>3.0151689708141323</v>
      </c>
      <c r="U32" s="160">
        <f t="shared" si="10"/>
        <v>157.03</v>
      </c>
      <c r="V32" s="145">
        <f t="shared" si="11"/>
        <v>157.03</v>
      </c>
      <c r="W32" s="137">
        <f t="shared" si="12"/>
        <v>0</v>
      </c>
      <c r="X32" s="230">
        <f t="shared" si="21"/>
        <v>1</v>
      </c>
      <c r="Y32" s="265">
        <f t="shared" si="20"/>
        <v>2.578135836883624</v>
      </c>
    </row>
    <row r="33" spans="1:25" s="6" customFormat="1" ht="15" hidden="1">
      <c r="A33" s="8"/>
      <c r="B33" s="45" t="s">
        <v>136</v>
      </c>
      <c r="C33" s="101">
        <v>18011000</v>
      </c>
      <c r="D33" s="342">
        <v>100</v>
      </c>
      <c r="E33" s="342">
        <v>100</v>
      </c>
      <c r="F33" s="290">
        <v>27.85</v>
      </c>
      <c r="G33" s="115">
        <v>27.85</v>
      </c>
      <c r="H33" s="87">
        <f t="shared" si="9"/>
        <v>0</v>
      </c>
      <c r="I33" s="276">
        <f t="shared" si="14"/>
        <v>1</v>
      </c>
      <c r="J33" s="88">
        <f t="shared" si="1"/>
        <v>-72.15</v>
      </c>
      <c r="K33" s="91">
        <f t="shared" si="19"/>
        <v>0.2785</v>
      </c>
      <c r="L33" s="88"/>
      <c r="M33" s="88"/>
      <c r="N33" s="88"/>
      <c r="O33" s="88">
        <v>241.36</v>
      </c>
      <c r="P33" s="88">
        <f t="shared" si="16"/>
        <v>-141.36</v>
      </c>
      <c r="Q33" s="91">
        <f t="shared" si="17"/>
        <v>0.41431885979449784</v>
      </c>
      <c r="R33" s="88">
        <v>0</v>
      </c>
      <c r="S33" s="88">
        <f t="shared" si="5"/>
        <v>27.85</v>
      </c>
      <c r="T33" s="91" t="e">
        <f t="shared" si="18"/>
        <v>#DIV/0!</v>
      </c>
      <c r="U33" s="89">
        <f t="shared" si="10"/>
        <v>27.85</v>
      </c>
      <c r="V33" s="119">
        <f t="shared" si="11"/>
        <v>27.85</v>
      </c>
      <c r="W33" s="90">
        <f t="shared" si="12"/>
        <v>0</v>
      </c>
      <c r="X33" s="91">
        <f t="shared" si="21"/>
        <v>1</v>
      </c>
      <c r="Y33" s="265"/>
    </row>
    <row r="34" spans="1:25" s="6" customFormat="1" ht="15" hidden="1">
      <c r="A34" s="8"/>
      <c r="B34" s="45" t="s">
        <v>137</v>
      </c>
      <c r="C34" s="101">
        <v>18011100</v>
      </c>
      <c r="D34" s="342">
        <v>182</v>
      </c>
      <c r="E34" s="342">
        <v>182</v>
      </c>
      <c r="F34" s="290">
        <v>129.18</v>
      </c>
      <c r="G34" s="115">
        <v>129.18</v>
      </c>
      <c r="H34" s="87">
        <f t="shared" si="9"/>
        <v>0</v>
      </c>
      <c r="I34" s="276">
        <f t="shared" si="14"/>
        <v>1</v>
      </c>
      <c r="J34" s="88">
        <f t="shared" si="1"/>
        <v>-52.81999999999999</v>
      </c>
      <c r="K34" s="91">
        <f t="shared" si="19"/>
        <v>0.7097802197802198</v>
      </c>
      <c r="L34" s="88"/>
      <c r="M34" s="88"/>
      <c r="N34" s="88"/>
      <c r="O34" s="88">
        <v>403.91</v>
      </c>
      <c r="P34" s="88">
        <f t="shared" si="16"/>
        <v>-221.91000000000003</v>
      </c>
      <c r="Q34" s="91">
        <f t="shared" si="17"/>
        <v>0.45059542967492755</v>
      </c>
      <c r="R34" s="88">
        <v>52.08</v>
      </c>
      <c r="S34" s="88">
        <f t="shared" si="5"/>
        <v>77.10000000000001</v>
      </c>
      <c r="T34" s="91">
        <f t="shared" si="18"/>
        <v>2.480414746543779</v>
      </c>
      <c r="U34" s="89">
        <f t="shared" si="10"/>
        <v>129.18</v>
      </c>
      <c r="V34" s="119">
        <f t="shared" si="11"/>
        <v>129.18</v>
      </c>
      <c r="W34" s="90"/>
      <c r="X34" s="91">
        <f t="shared" si="21"/>
        <v>1</v>
      </c>
      <c r="Y34" s="265"/>
    </row>
    <row r="35" spans="1:25" s="6" customFormat="1" ht="18">
      <c r="A35" s="8"/>
      <c r="B35" s="45" t="s">
        <v>71</v>
      </c>
      <c r="C35" s="101"/>
      <c r="D35" s="344">
        <f>D36+D37</f>
        <v>187776</v>
      </c>
      <c r="E35" s="370">
        <f>E36+E37</f>
        <v>187776</v>
      </c>
      <c r="F35" s="370">
        <f>F36+F37</f>
        <v>13353.48</v>
      </c>
      <c r="G35" s="141">
        <v>13353.5</v>
      </c>
      <c r="H35" s="123">
        <f t="shared" si="9"/>
        <v>0.020000000000436557</v>
      </c>
      <c r="I35" s="278">
        <f t="shared" si="14"/>
        <v>1.0000014977369196</v>
      </c>
      <c r="J35" s="205">
        <f t="shared" si="1"/>
        <v>-174422.5</v>
      </c>
      <c r="K35" s="230">
        <f t="shared" si="19"/>
        <v>0.07111398687798227</v>
      </c>
      <c r="L35" s="205"/>
      <c r="M35" s="205"/>
      <c r="N35" s="205"/>
      <c r="O35" s="205">
        <v>181171.61</v>
      </c>
      <c r="P35" s="205">
        <f t="shared" si="16"/>
        <v>6604.390000000014</v>
      </c>
      <c r="Q35" s="230">
        <f t="shared" si="17"/>
        <v>1.0364537799272193</v>
      </c>
      <c r="R35" s="143">
        <v>12648.59</v>
      </c>
      <c r="S35" s="143">
        <f t="shared" si="5"/>
        <v>704.9099999999999</v>
      </c>
      <c r="T35" s="174">
        <f t="shared" si="18"/>
        <v>1.0557303225102561</v>
      </c>
      <c r="U35" s="160">
        <f t="shared" si="10"/>
        <v>13353.48</v>
      </c>
      <c r="V35" s="145">
        <f t="shared" si="11"/>
        <v>13353.5</v>
      </c>
      <c r="W35" s="137">
        <f t="shared" si="12"/>
        <v>0.020000000000436557</v>
      </c>
      <c r="X35" s="230">
        <f t="shared" si="21"/>
        <v>1.0000014977369196</v>
      </c>
      <c r="Y35" s="265">
        <f t="shared" si="20"/>
        <v>0.019276542583036793</v>
      </c>
    </row>
    <row r="36" spans="1:25" s="6" customFormat="1" ht="18" customHeight="1" hidden="1">
      <c r="A36" s="8"/>
      <c r="B36" s="161" t="s">
        <v>103</v>
      </c>
      <c r="C36" s="162"/>
      <c r="D36" s="357">
        <f>D38+D40</f>
        <v>60690</v>
      </c>
      <c r="E36" s="163">
        <f aca="true" t="shared" si="22" ref="E36:G37">E38+E40</f>
        <v>60690</v>
      </c>
      <c r="F36" s="163">
        <f t="shared" si="22"/>
        <v>4067.23</v>
      </c>
      <c r="G36" s="163">
        <f t="shared" si="22"/>
        <v>4067.24</v>
      </c>
      <c r="H36" s="184">
        <f t="shared" si="9"/>
        <v>0.009999999999763531</v>
      </c>
      <c r="I36" s="279">
        <f t="shared" si="14"/>
        <v>1.0000024586758063</v>
      </c>
      <c r="J36" s="226">
        <f t="shared" si="1"/>
        <v>-56622.76</v>
      </c>
      <c r="K36" s="243">
        <f t="shared" si="19"/>
        <v>0.067016641950898</v>
      </c>
      <c r="L36" s="226"/>
      <c r="M36" s="226"/>
      <c r="N36" s="226"/>
      <c r="O36" s="226">
        <f>O38+O40</f>
        <v>58608.68</v>
      </c>
      <c r="P36" s="226">
        <f t="shared" si="16"/>
        <v>2081.3199999999997</v>
      </c>
      <c r="Q36" s="243">
        <f t="shared" si="17"/>
        <v>1.0355121459824723</v>
      </c>
      <c r="R36" s="164">
        <f>R38+R40</f>
        <v>3799.8500000000004</v>
      </c>
      <c r="S36" s="164">
        <f t="shared" si="5"/>
        <v>267.3899999999994</v>
      </c>
      <c r="T36" s="188">
        <f t="shared" si="18"/>
        <v>1.0703685671802832</v>
      </c>
      <c r="U36" s="194">
        <f t="shared" si="10"/>
        <v>4067.23</v>
      </c>
      <c r="V36" s="194">
        <f t="shared" si="11"/>
        <v>4067.24</v>
      </c>
      <c r="W36" s="226">
        <f t="shared" si="12"/>
        <v>0.009999999999763531</v>
      </c>
      <c r="X36" s="243">
        <f t="shared" si="21"/>
        <v>1.0000024586758063</v>
      </c>
      <c r="Y36" s="264">
        <f t="shared" si="20"/>
        <v>0.03485642119781085</v>
      </c>
    </row>
    <row r="37" spans="1:25" s="6" customFormat="1" ht="18" customHeight="1" hidden="1">
      <c r="A37" s="8"/>
      <c r="B37" s="161" t="s">
        <v>104</v>
      </c>
      <c r="C37" s="162"/>
      <c r="D37" s="357">
        <f>D39+D41</f>
        <v>127086</v>
      </c>
      <c r="E37" s="163">
        <f t="shared" si="22"/>
        <v>127086</v>
      </c>
      <c r="F37" s="163">
        <f t="shared" si="22"/>
        <v>9286.25</v>
      </c>
      <c r="G37" s="163">
        <f t="shared" si="22"/>
        <v>9286.26</v>
      </c>
      <c r="H37" s="184">
        <f t="shared" si="9"/>
        <v>0.010000000000218279</v>
      </c>
      <c r="I37" s="279">
        <f t="shared" si="14"/>
        <v>1.0000010768609504</v>
      </c>
      <c r="J37" s="226">
        <f t="shared" si="1"/>
        <v>-117799.74</v>
      </c>
      <c r="K37" s="243">
        <f t="shared" si="19"/>
        <v>0.07307067654973798</v>
      </c>
      <c r="L37" s="226"/>
      <c r="M37" s="226"/>
      <c r="N37" s="226"/>
      <c r="O37" s="226">
        <f>O39+O41</f>
        <v>122562.93000000001</v>
      </c>
      <c r="P37" s="226">
        <f t="shared" si="16"/>
        <v>4523.069999999992</v>
      </c>
      <c r="Q37" s="243">
        <f t="shared" si="17"/>
        <v>1.0369040622641772</v>
      </c>
      <c r="R37" s="164">
        <f>R39+R41</f>
        <v>8848.73</v>
      </c>
      <c r="S37" s="164">
        <f t="shared" si="5"/>
        <v>437.53000000000065</v>
      </c>
      <c r="T37" s="188">
        <f t="shared" si="18"/>
        <v>1.0494455136499814</v>
      </c>
      <c r="U37" s="194">
        <f t="shared" si="10"/>
        <v>9286.25</v>
      </c>
      <c r="V37" s="194">
        <f t="shared" si="11"/>
        <v>9286.26</v>
      </c>
      <c r="W37" s="226">
        <f t="shared" si="12"/>
        <v>0.010000000000218279</v>
      </c>
      <c r="X37" s="243">
        <f t="shared" si="21"/>
        <v>1.0000010768609504</v>
      </c>
      <c r="Y37" s="264">
        <f t="shared" si="20"/>
        <v>0.012541451385804203</v>
      </c>
    </row>
    <row r="38" spans="1:25" s="6" customFormat="1" ht="18" customHeight="1" hidden="1">
      <c r="A38" s="8"/>
      <c r="B38" s="274" t="s">
        <v>138</v>
      </c>
      <c r="C38" s="162">
        <v>18010500</v>
      </c>
      <c r="D38" s="355">
        <v>57290</v>
      </c>
      <c r="E38" s="355">
        <v>57290</v>
      </c>
      <c r="F38" s="285">
        <v>3984.4</v>
      </c>
      <c r="G38" s="273">
        <v>3984.41</v>
      </c>
      <c r="H38" s="285">
        <f t="shared" si="9"/>
        <v>0.009999999999763531</v>
      </c>
      <c r="I38" s="287">
        <f t="shared" si="14"/>
        <v>1.0000025097881737</v>
      </c>
      <c r="J38" s="288">
        <f t="shared" si="1"/>
        <v>-53305.59</v>
      </c>
      <c r="K38" s="289">
        <f t="shared" si="19"/>
        <v>0.06954808867167045</v>
      </c>
      <c r="L38" s="226"/>
      <c r="M38" s="226"/>
      <c r="N38" s="226"/>
      <c r="O38" s="288">
        <v>55246.24</v>
      </c>
      <c r="P38" s="288">
        <f t="shared" si="16"/>
        <v>2043.760000000002</v>
      </c>
      <c r="Q38" s="289">
        <f t="shared" si="17"/>
        <v>1.0369936487985427</v>
      </c>
      <c r="R38" s="288">
        <v>3720.59</v>
      </c>
      <c r="S38" s="288">
        <f t="shared" si="5"/>
        <v>263.8199999999997</v>
      </c>
      <c r="T38" s="289">
        <f t="shared" si="18"/>
        <v>1.0709081086601855</v>
      </c>
      <c r="U38" s="273">
        <f t="shared" si="10"/>
        <v>3984.4</v>
      </c>
      <c r="V38" s="273">
        <f t="shared" si="11"/>
        <v>3984.41</v>
      </c>
      <c r="W38" s="288">
        <f t="shared" si="12"/>
        <v>0.009999999999763531</v>
      </c>
      <c r="X38" s="289">
        <f t="shared" si="21"/>
        <v>1.0000025097881737</v>
      </c>
      <c r="Y38" s="264"/>
    </row>
    <row r="39" spans="1:25" s="6" customFormat="1" ht="18" customHeight="1" hidden="1">
      <c r="A39" s="8"/>
      <c r="B39" s="274" t="s">
        <v>139</v>
      </c>
      <c r="C39" s="162">
        <v>18010600</v>
      </c>
      <c r="D39" s="355">
        <v>105986</v>
      </c>
      <c r="E39" s="355">
        <v>105986</v>
      </c>
      <c r="F39" s="285">
        <v>7793.45</v>
      </c>
      <c r="G39" s="273">
        <v>7793.45</v>
      </c>
      <c r="H39" s="285">
        <f t="shared" si="9"/>
        <v>0</v>
      </c>
      <c r="I39" s="287">
        <f t="shared" si="14"/>
        <v>1</v>
      </c>
      <c r="J39" s="288">
        <f t="shared" si="1"/>
        <v>-98192.55</v>
      </c>
      <c r="K39" s="289">
        <f t="shared" si="19"/>
        <v>0.07353282509010624</v>
      </c>
      <c r="L39" s="226"/>
      <c r="M39" s="226"/>
      <c r="N39" s="226"/>
      <c r="O39" s="288">
        <v>102196.35</v>
      </c>
      <c r="P39" s="288">
        <f t="shared" si="16"/>
        <v>3789.649999999994</v>
      </c>
      <c r="Q39" s="289">
        <f t="shared" si="17"/>
        <v>1.0370820484293226</v>
      </c>
      <c r="R39" s="288">
        <v>7428.28</v>
      </c>
      <c r="S39" s="288">
        <f t="shared" si="5"/>
        <v>365.1700000000001</v>
      </c>
      <c r="T39" s="289">
        <f t="shared" si="18"/>
        <v>1.0491594285621975</v>
      </c>
      <c r="U39" s="273">
        <f t="shared" si="10"/>
        <v>7793.45</v>
      </c>
      <c r="V39" s="273">
        <f t="shared" si="11"/>
        <v>7793.45</v>
      </c>
      <c r="W39" s="288">
        <f t="shared" si="12"/>
        <v>0</v>
      </c>
      <c r="X39" s="289">
        <f t="shared" si="21"/>
        <v>1</v>
      </c>
      <c r="Y39" s="264"/>
    </row>
    <row r="40" spans="1:25" s="6" customFormat="1" ht="18" customHeight="1" hidden="1">
      <c r="A40" s="8"/>
      <c r="B40" s="274" t="s">
        <v>140</v>
      </c>
      <c r="C40" s="162">
        <v>18010700</v>
      </c>
      <c r="D40" s="355">
        <v>3400</v>
      </c>
      <c r="E40" s="355">
        <v>3400</v>
      </c>
      <c r="F40" s="285">
        <v>82.83</v>
      </c>
      <c r="G40" s="273">
        <v>82.83</v>
      </c>
      <c r="H40" s="285">
        <f t="shared" si="9"/>
        <v>0</v>
      </c>
      <c r="I40" s="287">
        <f t="shared" si="14"/>
        <v>1</v>
      </c>
      <c r="J40" s="288">
        <f t="shared" si="1"/>
        <v>-3317.17</v>
      </c>
      <c r="K40" s="289">
        <f t="shared" si="19"/>
        <v>0.024361764705882354</v>
      </c>
      <c r="L40" s="226"/>
      <c r="M40" s="226"/>
      <c r="N40" s="226"/>
      <c r="O40" s="288">
        <v>3362.44</v>
      </c>
      <c r="P40" s="288">
        <f t="shared" si="16"/>
        <v>37.559999999999945</v>
      </c>
      <c r="Q40" s="289">
        <f t="shared" si="17"/>
        <v>1.0111704595472335</v>
      </c>
      <c r="R40" s="288">
        <v>79.26</v>
      </c>
      <c r="S40" s="288">
        <f t="shared" si="5"/>
        <v>3.569999999999993</v>
      </c>
      <c r="T40" s="289">
        <f t="shared" si="18"/>
        <v>1.0450416351249052</v>
      </c>
      <c r="U40" s="273">
        <f t="shared" si="10"/>
        <v>82.83</v>
      </c>
      <c r="V40" s="273">
        <f t="shared" si="11"/>
        <v>82.83</v>
      </c>
      <c r="W40" s="288">
        <f t="shared" si="12"/>
        <v>0</v>
      </c>
      <c r="X40" s="289">
        <f t="shared" si="21"/>
        <v>1</v>
      </c>
      <c r="Y40" s="264"/>
    </row>
    <row r="41" spans="1:25" s="6" customFormat="1" ht="18" customHeight="1" hidden="1">
      <c r="A41" s="8"/>
      <c r="B41" s="274" t="s">
        <v>141</v>
      </c>
      <c r="C41" s="162">
        <v>18010900</v>
      </c>
      <c r="D41" s="355">
        <v>21100</v>
      </c>
      <c r="E41" s="355">
        <v>21100</v>
      </c>
      <c r="F41" s="285">
        <v>1492.8</v>
      </c>
      <c r="G41" s="273">
        <v>1492.81</v>
      </c>
      <c r="H41" s="285">
        <f t="shared" si="9"/>
        <v>0.009999999999990905</v>
      </c>
      <c r="I41" s="287">
        <f t="shared" si="14"/>
        <v>1.0000066988210075</v>
      </c>
      <c r="J41" s="288">
        <f t="shared" si="1"/>
        <v>-19607.19</v>
      </c>
      <c r="K41" s="289">
        <f t="shared" si="19"/>
        <v>0.07074928909952606</v>
      </c>
      <c r="L41" s="226"/>
      <c r="M41" s="226"/>
      <c r="N41" s="226"/>
      <c r="O41" s="288">
        <v>20366.58</v>
      </c>
      <c r="P41" s="288">
        <f t="shared" si="16"/>
        <v>733.4199999999983</v>
      </c>
      <c r="Q41" s="289">
        <f t="shared" si="17"/>
        <v>1.0360109552021006</v>
      </c>
      <c r="R41" s="288">
        <v>1420.45</v>
      </c>
      <c r="S41" s="288">
        <f t="shared" si="5"/>
        <v>72.3599999999999</v>
      </c>
      <c r="T41" s="289">
        <f t="shared" si="18"/>
        <v>1.0509416030131296</v>
      </c>
      <c r="U41" s="273">
        <f t="shared" si="10"/>
        <v>1492.8</v>
      </c>
      <c r="V41" s="273">
        <f t="shared" si="11"/>
        <v>1492.81</v>
      </c>
      <c r="W41" s="288">
        <f t="shared" si="12"/>
        <v>0.009999999999990905</v>
      </c>
      <c r="X41" s="289">
        <f t="shared" si="21"/>
        <v>1.0000066988210075</v>
      </c>
      <c r="Y41" s="264"/>
    </row>
    <row r="42" spans="1:25" s="6" customFormat="1" ht="18" hidden="1">
      <c r="A42" s="8"/>
      <c r="B42" s="185" t="s">
        <v>106</v>
      </c>
      <c r="C42" s="183">
        <v>18020000</v>
      </c>
      <c r="D42" s="183"/>
      <c r="E42" s="133">
        <v>0</v>
      </c>
      <c r="F42" s="133">
        <f>E42</f>
        <v>0</v>
      </c>
      <c r="G42" s="163">
        <v>0</v>
      </c>
      <c r="H42" s="123">
        <f t="shared" si="9"/>
        <v>0</v>
      </c>
      <c r="I42" s="275"/>
      <c r="J42" s="129">
        <f t="shared" si="1"/>
        <v>0</v>
      </c>
      <c r="K42" s="129"/>
      <c r="L42" s="129"/>
      <c r="M42" s="129"/>
      <c r="N42" s="129"/>
      <c r="O42" s="129">
        <v>0.2</v>
      </c>
      <c r="P42" s="129">
        <f t="shared" si="16"/>
        <v>-0.2</v>
      </c>
      <c r="Q42" s="173">
        <f t="shared" si="17"/>
        <v>0</v>
      </c>
      <c r="R42" s="138">
        <v>0.2</v>
      </c>
      <c r="S42" s="129">
        <f t="shared" si="5"/>
        <v>-0.2</v>
      </c>
      <c r="T42" s="173"/>
      <c r="U42" s="128">
        <f t="shared" si="10"/>
        <v>0</v>
      </c>
      <c r="V42" s="131">
        <f t="shared" si="11"/>
        <v>0</v>
      </c>
      <c r="W42" s="132">
        <f t="shared" si="12"/>
        <v>0</v>
      </c>
      <c r="X42" s="173"/>
      <c r="Y42" s="264">
        <f t="shared" si="20"/>
        <v>0</v>
      </c>
    </row>
    <row r="43" spans="1:25" s="6" customFormat="1" ht="18">
      <c r="A43" s="8"/>
      <c r="B43" s="39" t="s">
        <v>77</v>
      </c>
      <c r="C43" s="95">
        <v>18030000</v>
      </c>
      <c r="D43" s="345">
        <f>D44+D45</f>
        <v>174.4</v>
      </c>
      <c r="E43" s="123">
        <f>E44+E45</f>
        <v>174.4</v>
      </c>
      <c r="F43" s="123">
        <f>F44+F45</f>
        <v>10.43</v>
      </c>
      <c r="G43" s="127">
        <v>10.43</v>
      </c>
      <c r="H43" s="123">
        <f t="shared" si="9"/>
        <v>0</v>
      </c>
      <c r="I43" s="275">
        <f>G43/F43</f>
        <v>1</v>
      </c>
      <c r="J43" s="129">
        <f t="shared" si="1"/>
        <v>-163.97</v>
      </c>
      <c r="K43" s="173">
        <f>G43/E43</f>
        <v>0.05980504587155963</v>
      </c>
      <c r="L43" s="129"/>
      <c r="M43" s="129"/>
      <c r="N43" s="129"/>
      <c r="O43" s="129">
        <v>156.82</v>
      </c>
      <c r="P43" s="129">
        <f t="shared" si="16"/>
        <v>17.580000000000013</v>
      </c>
      <c r="Q43" s="173">
        <f t="shared" si="17"/>
        <v>1.112103048080602</v>
      </c>
      <c r="R43" s="138">
        <v>13.06</v>
      </c>
      <c r="S43" s="129">
        <f t="shared" si="5"/>
        <v>-2.630000000000001</v>
      </c>
      <c r="T43" s="173">
        <f aca="true" t="shared" si="23" ref="T43:T51">G43/R43</f>
        <v>0.7986217457886676</v>
      </c>
      <c r="U43" s="128">
        <f t="shared" si="10"/>
        <v>10.43</v>
      </c>
      <c r="V43" s="131">
        <f t="shared" si="11"/>
        <v>10.43</v>
      </c>
      <c r="W43" s="132">
        <f t="shared" si="12"/>
        <v>0</v>
      </c>
      <c r="X43" s="173">
        <f>V43/U43</f>
        <v>1</v>
      </c>
      <c r="Y43" s="264">
        <f t="shared" si="20"/>
        <v>-0.3134813022919344</v>
      </c>
    </row>
    <row r="44" spans="1:25" s="6" customFormat="1" ht="15" hidden="1">
      <c r="A44" s="8"/>
      <c r="B44" s="45" t="s">
        <v>142</v>
      </c>
      <c r="C44" s="86">
        <v>18031000</v>
      </c>
      <c r="D44" s="342">
        <v>100.9</v>
      </c>
      <c r="E44" s="87">
        <v>100.9</v>
      </c>
      <c r="F44" s="87">
        <v>9.9</v>
      </c>
      <c r="G44" s="115">
        <v>9.9</v>
      </c>
      <c r="H44" s="87">
        <f t="shared" si="9"/>
        <v>0</v>
      </c>
      <c r="I44" s="276">
        <f>G44/F44</f>
        <v>1</v>
      </c>
      <c r="J44" s="88">
        <f t="shared" si="1"/>
        <v>-91</v>
      </c>
      <c r="K44" s="91">
        <f>G44/E44</f>
        <v>0.0981169474727453</v>
      </c>
      <c r="L44" s="88"/>
      <c r="M44" s="88"/>
      <c r="N44" s="88"/>
      <c r="O44" s="88">
        <v>95.14</v>
      </c>
      <c r="P44" s="88">
        <f t="shared" si="16"/>
        <v>5.760000000000005</v>
      </c>
      <c r="Q44" s="91">
        <f t="shared" si="17"/>
        <v>1.0605423586293883</v>
      </c>
      <c r="R44" s="88">
        <v>5.51</v>
      </c>
      <c r="S44" s="88">
        <f t="shared" si="5"/>
        <v>4.390000000000001</v>
      </c>
      <c r="T44" s="91">
        <f t="shared" si="23"/>
        <v>1.7967332123411979</v>
      </c>
      <c r="U44" s="89">
        <f t="shared" si="10"/>
        <v>9.9</v>
      </c>
      <c r="V44" s="119">
        <f t="shared" si="11"/>
        <v>9.9</v>
      </c>
      <c r="W44" s="90">
        <f t="shared" si="12"/>
        <v>0</v>
      </c>
      <c r="X44" s="91">
        <f>V44/U44</f>
        <v>1</v>
      </c>
      <c r="Y44" s="264"/>
    </row>
    <row r="45" spans="1:25" s="6" customFormat="1" ht="15" hidden="1">
      <c r="A45" s="8"/>
      <c r="B45" s="45" t="s">
        <v>143</v>
      </c>
      <c r="C45" s="86">
        <v>18031100</v>
      </c>
      <c r="D45" s="342">
        <v>73.5</v>
      </c>
      <c r="E45" s="87">
        <v>73.5</v>
      </c>
      <c r="F45" s="87">
        <v>0.53</v>
      </c>
      <c r="G45" s="115">
        <v>0.53</v>
      </c>
      <c r="H45" s="87">
        <f t="shared" si="9"/>
        <v>0</v>
      </c>
      <c r="I45" s="276">
        <f>G45/F45</f>
        <v>1</v>
      </c>
      <c r="J45" s="88">
        <f t="shared" si="1"/>
        <v>-72.97</v>
      </c>
      <c r="K45" s="91">
        <f>G45/E45</f>
        <v>0.007210884353741497</v>
      </c>
      <c r="L45" s="88"/>
      <c r="M45" s="88"/>
      <c r="N45" s="88"/>
      <c r="O45" s="88">
        <v>61.68</v>
      </c>
      <c r="P45" s="88">
        <f t="shared" si="16"/>
        <v>11.82</v>
      </c>
      <c r="Q45" s="91">
        <f t="shared" si="17"/>
        <v>1.1916342412451362</v>
      </c>
      <c r="R45" s="88">
        <v>7.56</v>
      </c>
      <c r="S45" s="88">
        <f t="shared" si="5"/>
        <v>-7.029999999999999</v>
      </c>
      <c r="T45" s="91">
        <f t="shared" si="23"/>
        <v>0.07010582010582012</v>
      </c>
      <c r="U45" s="89">
        <f t="shared" si="10"/>
        <v>0.53</v>
      </c>
      <c r="V45" s="119">
        <f t="shared" si="11"/>
        <v>0.53</v>
      </c>
      <c r="W45" s="90">
        <f t="shared" si="12"/>
        <v>0</v>
      </c>
      <c r="X45" s="91">
        <f>V45/U45</f>
        <v>1</v>
      </c>
      <c r="Y45" s="264"/>
    </row>
    <row r="46" spans="1:25" s="6" customFormat="1" ht="30.75">
      <c r="A46" s="8"/>
      <c r="B46" s="185" t="s">
        <v>78</v>
      </c>
      <c r="C46" s="95">
        <v>18040000</v>
      </c>
      <c r="D46" s="95"/>
      <c r="E46" s="123"/>
      <c r="F46" s="123"/>
      <c r="G46" s="127">
        <v>-0.91</v>
      </c>
      <c r="H46" s="123">
        <f t="shared" si="9"/>
        <v>-0.91</v>
      </c>
      <c r="I46" s="275"/>
      <c r="J46" s="129">
        <f t="shared" si="1"/>
        <v>-0.91</v>
      </c>
      <c r="K46" s="173"/>
      <c r="L46" s="129"/>
      <c r="M46" s="129"/>
      <c r="N46" s="129"/>
      <c r="O46" s="129">
        <v>-50.78</v>
      </c>
      <c r="P46" s="129">
        <f t="shared" si="16"/>
        <v>50.78</v>
      </c>
      <c r="Q46" s="173">
        <f t="shared" si="17"/>
        <v>0</v>
      </c>
      <c r="R46" s="129">
        <v>-2.93</v>
      </c>
      <c r="S46" s="129">
        <f t="shared" si="5"/>
        <v>2.02</v>
      </c>
      <c r="T46" s="173">
        <f t="shared" si="23"/>
        <v>0.310580204778157</v>
      </c>
      <c r="U46" s="128">
        <f t="shared" si="10"/>
        <v>0</v>
      </c>
      <c r="V46" s="131">
        <f t="shared" si="11"/>
        <v>-0.91</v>
      </c>
      <c r="W46" s="132">
        <f t="shared" si="12"/>
        <v>-0.91</v>
      </c>
      <c r="X46" s="173"/>
      <c r="Y46" s="264">
        <f t="shared" si="20"/>
        <v>0.310580204778157</v>
      </c>
    </row>
    <row r="47" spans="1:25" s="6" customFormat="1" ht="18">
      <c r="A47" s="8"/>
      <c r="B47" s="39" t="s">
        <v>79</v>
      </c>
      <c r="C47" s="95">
        <v>18050000</v>
      </c>
      <c r="D47" s="345">
        <f>D48+D49+D50+D51</f>
        <v>254550.8</v>
      </c>
      <c r="E47" s="133">
        <v>254550.8</v>
      </c>
      <c r="F47" s="133">
        <f>F48+F49+F50+F51</f>
        <v>25046.16</v>
      </c>
      <c r="G47" s="134">
        <v>25046.2</v>
      </c>
      <c r="H47" s="123">
        <f t="shared" si="9"/>
        <v>0.040000000000873115</v>
      </c>
      <c r="I47" s="275">
        <f>G47/F47*100</f>
        <v>100.00015970512047</v>
      </c>
      <c r="J47" s="129">
        <f t="shared" si="1"/>
        <v>-229504.59999999998</v>
      </c>
      <c r="K47" s="173">
        <f>G47/E47</f>
        <v>0.09839371944617735</v>
      </c>
      <c r="L47" s="129"/>
      <c r="M47" s="129"/>
      <c r="N47" s="129"/>
      <c r="O47" s="129">
        <v>223368.23</v>
      </c>
      <c r="P47" s="129">
        <f t="shared" si="16"/>
        <v>31182.569999999978</v>
      </c>
      <c r="Q47" s="173">
        <f t="shared" si="17"/>
        <v>1.139601634484904</v>
      </c>
      <c r="R47" s="144">
        <v>20649.68</v>
      </c>
      <c r="S47" s="144">
        <f t="shared" si="5"/>
        <v>4396.52</v>
      </c>
      <c r="T47" s="186">
        <f t="shared" si="23"/>
        <v>1.2129098368594573</v>
      </c>
      <c r="U47" s="128">
        <f t="shared" si="10"/>
        <v>25046.16</v>
      </c>
      <c r="V47" s="131">
        <f t="shared" si="11"/>
        <v>25046.2</v>
      </c>
      <c r="W47" s="132">
        <f t="shared" si="12"/>
        <v>0.040000000000873115</v>
      </c>
      <c r="X47" s="173">
        <f>V47/U47</f>
        <v>1.0000015970512046</v>
      </c>
      <c r="Y47" s="264">
        <f t="shared" si="20"/>
        <v>0.07330820237455327</v>
      </c>
    </row>
    <row r="48" spans="1:25" s="6" customFormat="1" ht="15" customHeight="1">
      <c r="A48" s="8"/>
      <c r="B48" s="45" t="s">
        <v>85</v>
      </c>
      <c r="C48" s="86">
        <v>18050200</v>
      </c>
      <c r="D48" s="342"/>
      <c r="E48" s="87"/>
      <c r="F48" s="87">
        <f>E48</f>
        <v>0</v>
      </c>
      <c r="G48" s="115">
        <v>0.01</v>
      </c>
      <c r="H48" s="87">
        <f>G48-F48</f>
        <v>0.01</v>
      </c>
      <c r="I48" s="276"/>
      <c r="J48" s="88">
        <f t="shared" si="1"/>
        <v>0.01</v>
      </c>
      <c r="K48" s="91"/>
      <c r="L48" s="88"/>
      <c r="M48" s="88"/>
      <c r="N48" s="88"/>
      <c r="O48" s="88">
        <v>0.01</v>
      </c>
      <c r="P48" s="88">
        <f t="shared" si="16"/>
        <v>-0.01</v>
      </c>
      <c r="Q48" s="91">
        <f t="shared" si="17"/>
        <v>0</v>
      </c>
      <c r="R48" s="105">
        <f>O48</f>
        <v>0.01</v>
      </c>
      <c r="S48" s="105">
        <f t="shared" si="5"/>
        <v>0</v>
      </c>
      <c r="T48" s="178">
        <f t="shared" si="23"/>
        <v>1</v>
      </c>
      <c r="U48" s="89">
        <f t="shared" si="10"/>
        <v>0</v>
      </c>
      <c r="V48" s="119">
        <f t="shared" si="11"/>
        <v>0.01</v>
      </c>
      <c r="W48" s="90">
        <f t="shared" si="12"/>
        <v>0.01</v>
      </c>
      <c r="X48" s="91"/>
      <c r="Y48" s="264">
        <f t="shared" si="20"/>
        <v>1</v>
      </c>
    </row>
    <row r="49" spans="1:25" s="6" customFormat="1" ht="15" customHeight="1">
      <c r="A49" s="8"/>
      <c r="B49" s="45" t="s">
        <v>86</v>
      </c>
      <c r="C49" s="86">
        <v>18050300</v>
      </c>
      <c r="D49" s="342">
        <v>55715</v>
      </c>
      <c r="E49" s="87">
        <v>55715</v>
      </c>
      <c r="F49" s="87">
        <v>3883.87</v>
      </c>
      <c r="G49" s="115">
        <v>3883.87</v>
      </c>
      <c r="H49" s="87">
        <f>G49-F49</f>
        <v>0</v>
      </c>
      <c r="I49" s="276">
        <f>G49/F49</f>
        <v>1</v>
      </c>
      <c r="J49" s="88">
        <f t="shared" si="1"/>
        <v>-51831.13</v>
      </c>
      <c r="K49" s="91">
        <f>G49/E49</f>
        <v>0.06970959346675043</v>
      </c>
      <c r="L49" s="88"/>
      <c r="M49" s="88"/>
      <c r="N49" s="88"/>
      <c r="O49" s="88">
        <v>45030.34</v>
      </c>
      <c r="P49" s="88">
        <f t="shared" si="16"/>
        <v>10684.660000000003</v>
      </c>
      <c r="Q49" s="91">
        <f t="shared" si="17"/>
        <v>1.2372769115223203</v>
      </c>
      <c r="R49" s="105">
        <v>3585.03</v>
      </c>
      <c r="S49" s="105">
        <f t="shared" si="5"/>
        <v>298.8399999999997</v>
      </c>
      <c r="T49" s="178">
        <f t="shared" si="23"/>
        <v>1.0833577403815309</v>
      </c>
      <c r="U49" s="89">
        <f t="shared" si="10"/>
        <v>3883.87</v>
      </c>
      <c r="V49" s="119">
        <f t="shared" si="11"/>
        <v>3883.87</v>
      </c>
      <c r="W49" s="90">
        <f t="shared" si="12"/>
        <v>0</v>
      </c>
      <c r="X49" s="91">
        <f>V49/U49</f>
        <v>1</v>
      </c>
      <c r="Y49" s="264">
        <f t="shared" si="20"/>
        <v>-0.15391917114078946</v>
      </c>
    </row>
    <row r="50" spans="1:25" s="6" customFormat="1" ht="15" customHeight="1">
      <c r="A50" s="8"/>
      <c r="B50" s="45" t="s">
        <v>87</v>
      </c>
      <c r="C50" s="86">
        <v>18050400</v>
      </c>
      <c r="D50" s="342">
        <v>198755</v>
      </c>
      <c r="E50" s="87">
        <v>198755</v>
      </c>
      <c r="F50" s="87">
        <v>21140.49</v>
      </c>
      <c r="G50" s="115">
        <v>21140.49</v>
      </c>
      <c r="H50" s="87">
        <f>G50-F50</f>
        <v>0</v>
      </c>
      <c r="I50" s="276">
        <f>G50/F50</f>
        <v>1</v>
      </c>
      <c r="J50" s="88">
        <f t="shared" si="1"/>
        <v>-177614.51</v>
      </c>
      <c r="K50" s="91">
        <f>G50/E50</f>
        <v>0.10636456944479385</v>
      </c>
      <c r="L50" s="88"/>
      <c r="M50" s="88"/>
      <c r="N50" s="88"/>
      <c r="O50" s="88">
        <v>178270.24</v>
      </c>
      <c r="P50" s="88">
        <f t="shared" si="16"/>
        <v>20484.76000000001</v>
      </c>
      <c r="Q50" s="91">
        <f t="shared" si="17"/>
        <v>1.11490846705541</v>
      </c>
      <c r="R50" s="105">
        <v>17048.54</v>
      </c>
      <c r="S50" s="105">
        <f t="shared" si="5"/>
        <v>4091.9500000000007</v>
      </c>
      <c r="T50" s="178">
        <f t="shared" si="23"/>
        <v>1.2400176202771616</v>
      </c>
      <c r="U50" s="89">
        <f t="shared" si="10"/>
        <v>21140.49</v>
      </c>
      <c r="V50" s="119">
        <f t="shared" si="11"/>
        <v>21140.49</v>
      </c>
      <c r="W50" s="90">
        <f t="shared" si="12"/>
        <v>0</v>
      </c>
      <c r="X50" s="91">
        <f>V50/U50</f>
        <v>1</v>
      </c>
      <c r="Y50" s="264">
        <f t="shared" si="20"/>
        <v>0.12510915322175165</v>
      </c>
    </row>
    <row r="51" spans="1:25" s="6" customFormat="1" ht="15" customHeight="1">
      <c r="A51" s="8"/>
      <c r="B51" s="45" t="s">
        <v>88</v>
      </c>
      <c r="C51" s="86">
        <v>18050500</v>
      </c>
      <c r="D51" s="342">
        <v>80.8</v>
      </c>
      <c r="E51" s="87">
        <v>80.8</v>
      </c>
      <c r="F51" s="87">
        <v>21.8</v>
      </c>
      <c r="G51" s="115">
        <v>21.84</v>
      </c>
      <c r="H51" s="87">
        <f>G51-F51</f>
        <v>0.03999999999999915</v>
      </c>
      <c r="I51" s="276">
        <f>G51/F51</f>
        <v>1.001834862385321</v>
      </c>
      <c r="J51" s="88">
        <f t="shared" si="1"/>
        <v>-58.959999999999994</v>
      </c>
      <c r="K51" s="91">
        <f>G51/E51</f>
        <v>0.2702970297029703</v>
      </c>
      <c r="L51" s="88"/>
      <c r="M51" s="88"/>
      <c r="N51" s="88"/>
      <c r="O51" s="88">
        <v>67.63</v>
      </c>
      <c r="P51" s="88">
        <f t="shared" si="16"/>
        <v>13.170000000000002</v>
      </c>
      <c r="Q51" s="91">
        <f t="shared" si="17"/>
        <v>1.1947360638769777</v>
      </c>
      <c r="R51" s="105">
        <v>16.11</v>
      </c>
      <c r="S51" s="105">
        <f t="shared" si="5"/>
        <v>5.73</v>
      </c>
      <c r="T51" s="178">
        <f t="shared" si="23"/>
        <v>1.3556797020484173</v>
      </c>
      <c r="U51" s="89">
        <f t="shared" si="10"/>
        <v>21.8</v>
      </c>
      <c r="V51" s="119">
        <f t="shared" si="11"/>
        <v>21.84</v>
      </c>
      <c r="W51" s="90">
        <f t="shared" si="12"/>
        <v>0.03999999999999915</v>
      </c>
      <c r="X51" s="91">
        <f>V51/U51</f>
        <v>1.001834862385321</v>
      </c>
      <c r="Y51" s="264">
        <f t="shared" si="20"/>
        <v>0.16094363817143953</v>
      </c>
    </row>
    <row r="52" spans="1:25" s="6" customFormat="1" ht="15" customHeight="1">
      <c r="A52" s="8"/>
      <c r="B52" s="191"/>
      <c r="C52" s="38"/>
      <c r="D52" s="38"/>
      <c r="E52" s="31">
        <v>0</v>
      </c>
      <c r="F52" s="31">
        <f>E52</f>
        <v>0</v>
      </c>
      <c r="G52" s="223">
        <v>0</v>
      </c>
      <c r="H52" s="31">
        <f>G52-F52</f>
        <v>0</v>
      </c>
      <c r="I52" s="275"/>
      <c r="J52" s="97">
        <f t="shared" si="1"/>
        <v>0</v>
      </c>
      <c r="K52" s="83"/>
      <c r="L52" s="34"/>
      <c r="M52" s="34"/>
      <c r="N52" s="34"/>
      <c r="O52" s="34"/>
      <c r="P52" s="34"/>
      <c r="Q52" s="83"/>
      <c r="R52" s="97">
        <v>0</v>
      </c>
      <c r="S52" s="97">
        <f t="shared" si="5"/>
        <v>0</v>
      </c>
      <c r="T52" s="179"/>
      <c r="U52" s="112">
        <f t="shared" si="10"/>
        <v>0</v>
      </c>
      <c r="V52" s="120">
        <f t="shared" si="11"/>
        <v>0</v>
      </c>
      <c r="W52" s="132">
        <f t="shared" si="12"/>
        <v>0</v>
      </c>
      <c r="X52" s="83"/>
      <c r="Y52" s="264">
        <f t="shared" si="20"/>
        <v>0</v>
      </c>
    </row>
    <row r="53" spans="1:25" s="6" customFormat="1" ht="17.25">
      <c r="A53" s="7"/>
      <c r="B53" s="15" t="s">
        <v>12</v>
      </c>
      <c r="C53" s="65">
        <v>20000000</v>
      </c>
      <c r="D53" s="124">
        <f>D54+D55+D56+D57+D58+D60+D62+D63+D64+D65+D66+D71+D72+D76+D59+D61</f>
        <v>47248.9</v>
      </c>
      <c r="E53" s="124">
        <f>E54+E55+E56+E57+E58+E60+E62+E63+E64+E65+E66+E71+E72+E76+E59+E61</f>
        <v>47248.9</v>
      </c>
      <c r="F53" s="124">
        <f>F54+F55+F56+F57+F58+F60+F62+F63+F64+F65+F66+F71+F72+F76+F59+F61</f>
        <v>3247.7599999999998</v>
      </c>
      <c r="G53" s="124">
        <f>G54+G55+G56+G57+G58+G60+G62+G63+G64+G65+G66+G71+G72+G76+G59+G61</f>
        <v>3247.7599999999993</v>
      </c>
      <c r="H53" s="124">
        <f>H54+H55+H56+H57+H58+H60+H62+H63+H64+H65+H66+H71+H72+H76+H59+H61</f>
        <v>-9.325873406851315E-14</v>
      </c>
      <c r="I53" s="168">
        <f aca="true" t="shared" si="24" ref="I53:I72">G53/F53</f>
        <v>0.9999999999999999</v>
      </c>
      <c r="J53" s="125">
        <f>G53-E53</f>
        <v>-44001.14</v>
      </c>
      <c r="K53" s="181">
        <f aca="true" t="shared" si="25" ref="K53:K72">G53/E53</f>
        <v>0.06873726160820673</v>
      </c>
      <c r="L53" s="125"/>
      <c r="M53" s="125"/>
      <c r="N53" s="125"/>
      <c r="O53" s="125">
        <v>69380.98</v>
      </c>
      <c r="P53" s="125">
        <f>E53-O53</f>
        <v>-22132.079999999994</v>
      </c>
      <c r="Q53" s="181">
        <f>E53/O53</f>
        <v>0.681006523689922</v>
      </c>
      <c r="R53" s="221">
        <v>4227.73</v>
      </c>
      <c r="S53" s="124">
        <f t="shared" si="5"/>
        <v>-979.9700000000003</v>
      </c>
      <c r="T53" s="168">
        <f>G53/R53</f>
        <v>0.7682042136087214</v>
      </c>
      <c r="U53" s="124">
        <f>U54+U55+U56+U57+U58+U60+U62+U63+U64+U65+U66+U71+U72+U76+U59+U61</f>
        <v>3247.7599999999998</v>
      </c>
      <c r="V53" s="124">
        <f>V54+V55+V56+V57+V58+V60+V62+V63+V64+V65+V66+V71+V72+V76+V59+V61</f>
        <v>3247.7599999999993</v>
      </c>
      <c r="W53" s="124">
        <f>W54+W55+W56+W57+W58+W60+W62+W63+W64+W65+W66+W71+W72+W76</f>
        <v>6.549999999999907</v>
      </c>
      <c r="X53" s="168">
        <f>V53/U53</f>
        <v>0.9999999999999999</v>
      </c>
      <c r="Y53" s="264">
        <f t="shared" si="20"/>
        <v>0.08719768991879939</v>
      </c>
    </row>
    <row r="54" spans="1:25" s="6" customFormat="1" ht="46.5">
      <c r="A54" s="8"/>
      <c r="B54" s="185" t="s">
        <v>93</v>
      </c>
      <c r="C54" s="38">
        <v>21010301</v>
      </c>
      <c r="D54" s="345">
        <v>2650</v>
      </c>
      <c r="E54" s="123">
        <v>2650</v>
      </c>
      <c r="F54" s="123">
        <v>1.11</v>
      </c>
      <c r="G54" s="127">
        <v>1.11</v>
      </c>
      <c r="H54" s="123">
        <f aca="true" t="shared" si="26" ref="H54:H78">G54-F54</f>
        <v>0</v>
      </c>
      <c r="I54" s="280">
        <f t="shared" si="24"/>
        <v>1</v>
      </c>
      <c r="J54" s="136">
        <f>G54-E54</f>
        <v>-2648.89</v>
      </c>
      <c r="K54" s="180">
        <f t="shared" si="25"/>
        <v>0.0004188679245283019</v>
      </c>
      <c r="L54" s="136"/>
      <c r="M54" s="136"/>
      <c r="N54" s="136"/>
      <c r="O54" s="136">
        <v>2633.96</v>
      </c>
      <c r="P54" s="136">
        <f>E54-O54</f>
        <v>16.039999999999964</v>
      </c>
      <c r="Q54" s="180">
        <f>E54/O54</f>
        <v>1.0060896900484442</v>
      </c>
      <c r="R54" s="136">
        <v>8.18</v>
      </c>
      <c r="S54" s="136">
        <f t="shared" si="5"/>
        <v>-7.069999999999999</v>
      </c>
      <c r="T54" s="180">
        <f>G54/R54</f>
        <v>0.13569682151589244</v>
      </c>
      <c r="U54" s="128">
        <f>F54</f>
        <v>1.11</v>
      </c>
      <c r="V54" s="131">
        <f>G54</f>
        <v>1.11</v>
      </c>
      <c r="W54" s="132">
        <f aca="true" t="shared" si="27" ref="W54:W78">V54-U54</f>
        <v>0</v>
      </c>
      <c r="X54" s="180">
        <f>V54/U54</f>
        <v>1</v>
      </c>
      <c r="Y54" s="264">
        <f t="shared" si="20"/>
        <v>-0.8703928685325517</v>
      </c>
    </row>
    <row r="55" spans="1:32" s="6" customFormat="1" ht="30.75">
      <c r="A55" s="8"/>
      <c r="B55" s="107" t="s">
        <v>72</v>
      </c>
      <c r="C55" s="37">
        <v>21050000</v>
      </c>
      <c r="D55" s="359">
        <v>5000</v>
      </c>
      <c r="E55" s="123">
        <v>5000</v>
      </c>
      <c r="F55" s="123">
        <v>0</v>
      </c>
      <c r="G55" s="127">
        <v>0</v>
      </c>
      <c r="H55" s="123">
        <f t="shared" si="26"/>
        <v>0</v>
      </c>
      <c r="I55" s="280" t="e">
        <f t="shared" si="24"/>
        <v>#DIV/0!</v>
      </c>
      <c r="J55" s="136">
        <f aca="true" t="shared" si="28" ref="J55:J78">G55-E55</f>
        <v>-5000</v>
      </c>
      <c r="K55" s="180">
        <f t="shared" si="25"/>
        <v>0</v>
      </c>
      <c r="L55" s="136"/>
      <c r="M55" s="136"/>
      <c r="N55" s="136"/>
      <c r="O55" s="136">
        <v>27997.6</v>
      </c>
      <c r="P55" s="136">
        <f aca="true" t="shared" si="29" ref="P55:P72">E55-O55</f>
        <v>-22997.6</v>
      </c>
      <c r="Q55" s="180">
        <f aca="true" t="shared" si="30" ref="Q55:Q72">E55/O55</f>
        <v>0.17858673600594338</v>
      </c>
      <c r="R55" s="136">
        <v>0</v>
      </c>
      <c r="S55" s="136">
        <f t="shared" si="5"/>
        <v>0</v>
      </c>
      <c r="T55" s="180" t="e">
        <f aca="true" t="shared" si="31" ref="T55:T78">G55/R55</f>
        <v>#DIV/0!</v>
      </c>
      <c r="U55" s="128">
        <f aca="true" t="shared" si="32" ref="U55:U66">F55</f>
        <v>0</v>
      </c>
      <c r="V55" s="131">
        <f aca="true" t="shared" si="33" ref="V55:V66">G55</f>
        <v>0</v>
      </c>
      <c r="W55" s="132">
        <f t="shared" si="27"/>
        <v>0</v>
      </c>
      <c r="X55" s="180" t="e">
        <f aca="true" t="shared" si="34" ref="X55:X77">V55/U55</f>
        <v>#DIV/0!</v>
      </c>
      <c r="Y55" s="264" t="e">
        <f t="shared" si="20"/>
        <v>#DIV/0!</v>
      </c>
      <c r="AF55" s="122"/>
    </row>
    <row r="56" spans="1:25" s="6" customFormat="1" ht="18">
      <c r="A56" s="8"/>
      <c r="B56" s="107" t="s">
        <v>59</v>
      </c>
      <c r="C56" s="37">
        <v>21080500</v>
      </c>
      <c r="D56" s="359">
        <v>158</v>
      </c>
      <c r="E56" s="123">
        <v>158</v>
      </c>
      <c r="F56" s="123">
        <v>0</v>
      </c>
      <c r="G56" s="127">
        <v>0</v>
      </c>
      <c r="H56" s="123">
        <f t="shared" si="26"/>
        <v>0</v>
      </c>
      <c r="I56" s="280" t="e">
        <f t="shared" si="24"/>
        <v>#DIV/0!</v>
      </c>
      <c r="J56" s="136">
        <f t="shared" si="28"/>
        <v>-158</v>
      </c>
      <c r="K56" s="180">
        <f t="shared" si="25"/>
        <v>0</v>
      </c>
      <c r="L56" s="136"/>
      <c r="M56" s="136"/>
      <c r="N56" s="136"/>
      <c r="O56" s="136">
        <v>153.3</v>
      </c>
      <c r="P56" s="136">
        <f t="shared" si="29"/>
        <v>4.699999999999989</v>
      </c>
      <c r="Q56" s="180">
        <f t="shared" si="30"/>
        <v>1.030658838878017</v>
      </c>
      <c r="R56" s="136">
        <v>14.87</v>
      </c>
      <c r="S56" s="136">
        <f t="shared" si="5"/>
        <v>-14.87</v>
      </c>
      <c r="T56" s="180">
        <f t="shared" si="31"/>
        <v>0</v>
      </c>
      <c r="U56" s="128">
        <f t="shared" si="32"/>
        <v>0</v>
      </c>
      <c r="V56" s="131">
        <f t="shared" si="33"/>
        <v>0</v>
      </c>
      <c r="W56" s="132">
        <f t="shared" si="27"/>
        <v>0</v>
      </c>
      <c r="X56" s="180" t="e">
        <f t="shared" si="34"/>
        <v>#DIV/0!</v>
      </c>
      <c r="Y56" s="264">
        <f t="shared" si="20"/>
        <v>-1.030658838878017</v>
      </c>
    </row>
    <row r="57" spans="1:25" s="6" customFormat="1" ht="31.5">
      <c r="A57" s="8"/>
      <c r="B57" s="195" t="s">
        <v>37</v>
      </c>
      <c r="C57" s="66">
        <v>21080900</v>
      </c>
      <c r="D57" s="360">
        <v>13</v>
      </c>
      <c r="E57" s="123">
        <v>13</v>
      </c>
      <c r="F57" s="123">
        <v>2</v>
      </c>
      <c r="G57" s="127">
        <v>2.02</v>
      </c>
      <c r="H57" s="123">
        <f t="shared" si="26"/>
        <v>0.020000000000000018</v>
      </c>
      <c r="I57" s="280">
        <f t="shared" si="24"/>
        <v>1.01</v>
      </c>
      <c r="J57" s="136">
        <f t="shared" si="28"/>
        <v>-10.98</v>
      </c>
      <c r="K57" s="180">
        <f t="shared" si="25"/>
        <v>0.1553846153846154</v>
      </c>
      <c r="L57" s="136"/>
      <c r="M57" s="136"/>
      <c r="N57" s="136"/>
      <c r="O57" s="136">
        <v>12.95</v>
      </c>
      <c r="P57" s="136">
        <f t="shared" si="29"/>
        <v>0.05000000000000071</v>
      </c>
      <c r="Q57" s="292">
        <f t="shared" si="30"/>
        <v>1.0038610038610039</v>
      </c>
      <c r="R57" s="136">
        <v>0</v>
      </c>
      <c r="S57" s="136">
        <f t="shared" si="5"/>
        <v>2.02</v>
      </c>
      <c r="T57" s="180"/>
      <c r="U57" s="128">
        <f t="shared" si="32"/>
        <v>2</v>
      </c>
      <c r="V57" s="131">
        <f t="shared" si="33"/>
        <v>2.02</v>
      </c>
      <c r="W57" s="132">
        <f t="shared" si="27"/>
        <v>0.020000000000000018</v>
      </c>
      <c r="X57" s="180">
        <f t="shared" si="34"/>
        <v>1.01</v>
      </c>
      <c r="Y57" s="264">
        <f t="shared" si="20"/>
        <v>-1.0038610038610039</v>
      </c>
    </row>
    <row r="58" spans="1:25" s="6" customFormat="1" ht="18">
      <c r="A58" s="8"/>
      <c r="B58" s="108" t="s">
        <v>16</v>
      </c>
      <c r="C58" s="67">
        <v>21081100</v>
      </c>
      <c r="D58" s="361">
        <v>744</v>
      </c>
      <c r="E58" s="123">
        <v>744</v>
      </c>
      <c r="F58" s="123">
        <v>28.43</v>
      </c>
      <c r="G58" s="127">
        <v>28.43</v>
      </c>
      <c r="H58" s="123">
        <f t="shared" si="26"/>
        <v>0</v>
      </c>
      <c r="I58" s="280">
        <f t="shared" si="24"/>
        <v>1</v>
      </c>
      <c r="J58" s="136">
        <f t="shared" si="28"/>
        <v>-715.57</v>
      </c>
      <c r="K58" s="180">
        <f t="shared" si="25"/>
        <v>0.03821236559139785</v>
      </c>
      <c r="L58" s="136"/>
      <c r="M58" s="136"/>
      <c r="N58" s="136"/>
      <c r="O58" s="136">
        <v>705.31</v>
      </c>
      <c r="P58" s="136">
        <f t="shared" si="29"/>
        <v>38.690000000000055</v>
      </c>
      <c r="Q58" s="180">
        <f t="shared" si="30"/>
        <v>1.0548553118486907</v>
      </c>
      <c r="R58" s="136">
        <v>11.17</v>
      </c>
      <c r="S58" s="136">
        <f t="shared" si="5"/>
        <v>17.259999999999998</v>
      </c>
      <c r="T58" s="180">
        <f t="shared" si="31"/>
        <v>2.5452103849597134</v>
      </c>
      <c r="U58" s="128">
        <f t="shared" si="32"/>
        <v>28.43</v>
      </c>
      <c r="V58" s="131">
        <f t="shared" si="33"/>
        <v>28.43</v>
      </c>
      <c r="W58" s="132">
        <f t="shared" si="27"/>
        <v>0</v>
      </c>
      <c r="X58" s="180">
        <f t="shared" si="34"/>
        <v>1</v>
      </c>
      <c r="Y58" s="264">
        <f t="shared" si="20"/>
        <v>1.4903550731110227</v>
      </c>
    </row>
    <row r="59" spans="1:25" s="6" customFormat="1" ht="46.5">
      <c r="A59" s="8"/>
      <c r="B59" s="250" t="s">
        <v>75</v>
      </c>
      <c r="C59" s="67">
        <v>21081500</v>
      </c>
      <c r="D59" s="361">
        <v>115.5</v>
      </c>
      <c r="E59" s="123">
        <v>115.5</v>
      </c>
      <c r="F59" s="123">
        <v>0</v>
      </c>
      <c r="G59" s="127">
        <v>-6.55</v>
      </c>
      <c r="H59" s="123">
        <f t="shared" si="26"/>
        <v>-6.55</v>
      </c>
      <c r="I59" s="280" t="e">
        <f t="shared" si="24"/>
        <v>#DIV/0!</v>
      </c>
      <c r="J59" s="136">
        <f t="shared" si="28"/>
        <v>-122.05</v>
      </c>
      <c r="K59" s="180">
        <f t="shared" si="25"/>
        <v>-0.05670995670995671</v>
      </c>
      <c r="L59" s="136"/>
      <c r="M59" s="136"/>
      <c r="N59" s="136"/>
      <c r="O59" s="136">
        <v>114.3</v>
      </c>
      <c r="P59" s="136">
        <f t="shared" si="29"/>
        <v>1.2000000000000028</v>
      </c>
      <c r="Q59" s="180">
        <f t="shared" si="30"/>
        <v>1.010498687664042</v>
      </c>
      <c r="R59" s="136">
        <v>0</v>
      </c>
      <c r="S59" s="136">
        <f t="shared" si="5"/>
        <v>-6.55</v>
      </c>
      <c r="T59" s="180" t="e">
        <f t="shared" si="31"/>
        <v>#DIV/0!</v>
      </c>
      <c r="U59" s="128">
        <f t="shared" si="32"/>
        <v>0</v>
      </c>
      <c r="V59" s="131">
        <f t="shared" si="33"/>
        <v>-6.55</v>
      </c>
      <c r="W59" s="132">
        <f t="shared" si="27"/>
        <v>-6.55</v>
      </c>
      <c r="X59" s="180" t="e">
        <f t="shared" si="34"/>
        <v>#DIV/0!</v>
      </c>
      <c r="Y59" s="264" t="e">
        <f t="shared" si="20"/>
        <v>#DIV/0!</v>
      </c>
    </row>
    <row r="60" spans="1:25" s="6" customFormat="1" ht="30.75">
      <c r="A60" s="8"/>
      <c r="B60" s="250" t="s">
        <v>97</v>
      </c>
      <c r="C60" s="44">
        <v>22010300</v>
      </c>
      <c r="D60" s="362">
        <v>1284</v>
      </c>
      <c r="E60" s="123">
        <v>1284</v>
      </c>
      <c r="F60" s="123">
        <v>89.19</v>
      </c>
      <c r="G60" s="127">
        <v>89.19</v>
      </c>
      <c r="H60" s="123">
        <f t="shared" si="26"/>
        <v>0</v>
      </c>
      <c r="I60" s="280">
        <f t="shared" si="24"/>
        <v>1</v>
      </c>
      <c r="J60" s="136">
        <f t="shared" si="28"/>
        <v>-1194.81</v>
      </c>
      <c r="K60" s="180">
        <f t="shared" si="25"/>
        <v>0.0694626168224299</v>
      </c>
      <c r="L60" s="136"/>
      <c r="M60" s="136"/>
      <c r="N60" s="136"/>
      <c r="O60" s="136">
        <v>1205.14</v>
      </c>
      <c r="P60" s="136">
        <f t="shared" si="29"/>
        <v>78.8599999999999</v>
      </c>
      <c r="Q60" s="180">
        <f t="shared" si="30"/>
        <v>1.0654363808354215</v>
      </c>
      <c r="R60" s="136">
        <v>89.45</v>
      </c>
      <c r="S60" s="136">
        <f t="shared" si="5"/>
        <v>-0.2600000000000051</v>
      </c>
      <c r="T60" s="180">
        <f t="shared" si="31"/>
        <v>0.9970933482392398</v>
      </c>
      <c r="U60" s="128">
        <f t="shared" si="32"/>
        <v>89.19</v>
      </c>
      <c r="V60" s="131">
        <f t="shared" si="33"/>
        <v>89.19</v>
      </c>
      <c r="W60" s="132">
        <f t="shared" si="27"/>
        <v>0</v>
      </c>
      <c r="X60" s="180">
        <f t="shared" si="34"/>
        <v>1</v>
      </c>
      <c r="Y60" s="264">
        <f t="shared" si="20"/>
        <v>-0.06834303259618169</v>
      </c>
    </row>
    <row r="61" spans="1:25" s="6" customFormat="1" ht="18" hidden="1">
      <c r="A61" s="8"/>
      <c r="B61" s="108" t="s">
        <v>127</v>
      </c>
      <c r="C61" s="44">
        <v>22010200</v>
      </c>
      <c r="D61" s="348"/>
      <c r="E61" s="123"/>
      <c r="F61" s="123">
        <v>0</v>
      </c>
      <c r="G61" s="127">
        <v>0</v>
      </c>
      <c r="H61" s="123">
        <f t="shared" si="26"/>
        <v>0</v>
      </c>
      <c r="I61" s="280" t="e">
        <f t="shared" si="24"/>
        <v>#DIV/0!</v>
      </c>
      <c r="J61" s="136">
        <f t="shared" si="28"/>
        <v>0</v>
      </c>
      <c r="K61" s="180" t="e">
        <f t="shared" si="25"/>
        <v>#DIV/0!</v>
      </c>
      <c r="L61" s="136"/>
      <c r="M61" s="136"/>
      <c r="N61" s="136"/>
      <c r="O61" s="136">
        <v>23.38</v>
      </c>
      <c r="P61" s="136">
        <f t="shared" si="29"/>
        <v>-23.38</v>
      </c>
      <c r="Q61" s="180">
        <f t="shared" si="30"/>
        <v>0</v>
      </c>
      <c r="R61" s="136">
        <v>0</v>
      </c>
      <c r="S61" s="136">
        <f t="shared" si="5"/>
        <v>0</v>
      </c>
      <c r="T61" s="180"/>
      <c r="U61" s="128">
        <f t="shared" si="32"/>
        <v>0</v>
      </c>
      <c r="V61" s="131">
        <f t="shared" si="33"/>
        <v>0</v>
      </c>
      <c r="W61" s="132">
        <f t="shared" si="27"/>
        <v>0</v>
      </c>
      <c r="X61" s="180" t="e">
        <f t="shared" si="34"/>
        <v>#DIV/0!</v>
      </c>
      <c r="Y61" s="264">
        <f t="shared" si="20"/>
        <v>0</v>
      </c>
    </row>
    <row r="62" spans="1:25" s="6" customFormat="1" ht="18">
      <c r="A62" s="8"/>
      <c r="B62" s="256" t="s">
        <v>73</v>
      </c>
      <c r="C62" s="67">
        <v>22012500</v>
      </c>
      <c r="D62" s="361">
        <v>21260</v>
      </c>
      <c r="E62" s="123">
        <v>21260</v>
      </c>
      <c r="F62" s="123">
        <v>1890</v>
      </c>
      <c r="G62" s="127">
        <v>1894.1</v>
      </c>
      <c r="H62" s="123">
        <f t="shared" si="26"/>
        <v>4.099999999999909</v>
      </c>
      <c r="I62" s="280">
        <f t="shared" si="24"/>
        <v>1.002169312169312</v>
      </c>
      <c r="J62" s="136">
        <f t="shared" si="28"/>
        <v>-19365.9</v>
      </c>
      <c r="K62" s="180">
        <f t="shared" si="25"/>
        <v>0.08909219190968955</v>
      </c>
      <c r="L62" s="136"/>
      <c r="M62" s="136"/>
      <c r="N62" s="136"/>
      <c r="O62" s="136">
        <v>20110.14</v>
      </c>
      <c r="P62" s="136">
        <f t="shared" si="29"/>
        <v>1149.8600000000006</v>
      </c>
      <c r="Q62" s="180">
        <f t="shared" si="30"/>
        <v>1.0571781200926498</v>
      </c>
      <c r="R62" s="136">
        <v>1052.56</v>
      </c>
      <c r="S62" s="136">
        <f t="shared" si="5"/>
        <v>841.54</v>
      </c>
      <c r="T62" s="180">
        <f t="shared" si="31"/>
        <v>1.7995173671809683</v>
      </c>
      <c r="U62" s="128">
        <f t="shared" si="32"/>
        <v>1890</v>
      </c>
      <c r="V62" s="131">
        <f t="shared" si="33"/>
        <v>1894.1</v>
      </c>
      <c r="W62" s="132">
        <f t="shared" si="27"/>
        <v>4.099999999999909</v>
      </c>
      <c r="X62" s="180">
        <f t="shared" si="34"/>
        <v>1.002169312169312</v>
      </c>
      <c r="Y62" s="264">
        <f t="shared" si="20"/>
        <v>0.7423392470883186</v>
      </c>
    </row>
    <row r="63" spans="1:25" s="6" customFormat="1" ht="31.5">
      <c r="A63" s="8"/>
      <c r="B63" s="256" t="s">
        <v>94</v>
      </c>
      <c r="C63" s="67">
        <v>22012600</v>
      </c>
      <c r="D63" s="361">
        <v>767</v>
      </c>
      <c r="E63" s="123">
        <v>767</v>
      </c>
      <c r="F63" s="123">
        <f>56.1+0.9</f>
        <v>57</v>
      </c>
      <c r="G63" s="127">
        <v>59.37</v>
      </c>
      <c r="H63" s="123">
        <f t="shared" si="26"/>
        <v>2.3699999999999974</v>
      </c>
      <c r="I63" s="280">
        <f t="shared" si="24"/>
        <v>1.041578947368421</v>
      </c>
      <c r="J63" s="136">
        <f t="shared" si="28"/>
        <v>-707.63</v>
      </c>
      <c r="K63" s="180">
        <f t="shared" si="25"/>
        <v>0.07740547588005214</v>
      </c>
      <c r="L63" s="136"/>
      <c r="M63" s="136"/>
      <c r="N63" s="136"/>
      <c r="O63" s="136">
        <v>710.04</v>
      </c>
      <c r="P63" s="136">
        <f t="shared" si="29"/>
        <v>56.960000000000036</v>
      </c>
      <c r="Q63" s="180">
        <f t="shared" si="30"/>
        <v>1.0802208326291478</v>
      </c>
      <c r="R63" s="136">
        <v>44.53</v>
      </c>
      <c r="S63" s="136">
        <f t="shared" si="5"/>
        <v>14.839999999999996</v>
      </c>
      <c r="T63" s="180">
        <f t="shared" si="31"/>
        <v>1.3332584774309453</v>
      </c>
      <c r="U63" s="128">
        <f t="shared" si="32"/>
        <v>57</v>
      </c>
      <c r="V63" s="131">
        <f t="shared" si="33"/>
        <v>59.37</v>
      </c>
      <c r="W63" s="132">
        <f t="shared" si="27"/>
        <v>2.3699999999999974</v>
      </c>
      <c r="X63" s="180">
        <f t="shared" si="34"/>
        <v>1.041578947368421</v>
      </c>
      <c r="Y63" s="264">
        <f t="shared" si="20"/>
        <v>0.25303764480179747</v>
      </c>
    </row>
    <row r="64" spans="1:25" s="6" customFormat="1" ht="31.5">
      <c r="A64" s="8"/>
      <c r="B64" s="30" t="s">
        <v>98</v>
      </c>
      <c r="C64" s="67">
        <v>22012900</v>
      </c>
      <c r="D64" s="361">
        <v>44</v>
      </c>
      <c r="E64" s="123">
        <v>44</v>
      </c>
      <c r="F64" s="123">
        <v>1</v>
      </c>
      <c r="G64" s="127">
        <v>1.06</v>
      </c>
      <c r="H64" s="123">
        <f t="shared" si="26"/>
        <v>0.06000000000000005</v>
      </c>
      <c r="I64" s="280">
        <f t="shared" si="24"/>
        <v>1.06</v>
      </c>
      <c r="J64" s="136">
        <f t="shared" si="28"/>
        <v>-42.94</v>
      </c>
      <c r="K64" s="180">
        <f t="shared" si="25"/>
        <v>0.024090909090909093</v>
      </c>
      <c r="L64" s="136"/>
      <c r="M64" s="136"/>
      <c r="N64" s="136"/>
      <c r="O64" s="136">
        <v>41.44</v>
      </c>
      <c r="P64" s="136">
        <f t="shared" si="29"/>
        <v>2.5600000000000023</v>
      </c>
      <c r="Q64" s="180">
        <f t="shared" si="30"/>
        <v>1.0617760617760619</v>
      </c>
      <c r="R64" s="136">
        <v>0</v>
      </c>
      <c r="S64" s="136">
        <f t="shared" si="5"/>
        <v>1.06</v>
      </c>
      <c r="T64" s="180" t="e">
        <f t="shared" si="31"/>
        <v>#DIV/0!</v>
      </c>
      <c r="U64" s="128">
        <f t="shared" si="32"/>
        <v>1</v>
      </c>
      <c r="V64" s="131">
        <f t="shared" si="33"/>
        <v>1.06</v>
      </c>
      <c r="W64" s="132">
        <f t="shared" si="27"/>
        <v>0.06000000000000005</v>
      </c>
      <c r="X64" s="180">
        <f t="shared" si="34"/>
        <v>1.06</v>
      </c>
      <c r="Y64" s="264" t="e">
        <f t="shared" si="20"/>
        <v>#DIV/0!</v>
      </c>
    </row>
    <row r="65" spans="1:25" s="6" customFormat="1" ht="30.75">
      <c r="A65" s="8"/>
      <c r="B65" s="108" t="s">
        <v>14</v>
      </c>
      <c r="C65" s="44">
        <v>22080400</v>
      </c>
      <c r="D65" s="362">
        <v>6000</v>
      </c>
      <c r="E65" s="123">
        <v>6000</v>
      </c>
      <c r="F65" s="123">
        <v>564.14</v>
      </c>
      <c r="G65" s="127">
        <v>564.14</v>
      </c>
      <c r="H65" s="123">
        <f t="shared" si="26"/>
        <v>0</v>
      </c>
      <c r="I65" s="280">
        <f t="shared" si="24"/>
        <v>1</v>
      </c>
      <c r="J65" s="136">
        <f t="shared" si="28"/>
        <v>-5435.86</v>
      </c>
      <c r="K65" s="180">
        <f t="shared" si="25"/>
        <v>0.09402333333333333</v>
      </c>
      <c r="L65" s="136"/>
      <c r="M65" s="136"/>
      <c r="N65" s="136"/>
      <c r="O65" s="136">
        <v>6545.96</v>
      </c>
      <c r="P65" s="136">
        <f t="shared" si="29"/>
        <v>-545.96</v>
      </c>
      <c r="Q65" s="180">
        <f t="shared" si="30"/>
        <v>0.9165958850955398</v>
      </c>
      <c r="R65" s="136">
        <v>684.99</v>
      </c>
      <c r="S65" s="136">
        <f t="shared" si="5"/>
        <v>-120.85000000000002</v>
      </c>
      <c r="T65" s="180">
        <f t="shared" si="31"/>
        <v>0.8235740667746974</v>
      </c>
      <c r="U65" s="128">
        <f t="shared" si="32"/>
        <v>564.14</v>
      </c>
      <c r="V65" s="131">
        <f t="shared" si="33"/>
        <v>564.14</v>
      </c>
      <c r="W65" s="132">
        <f t="shared" si="27"/>
        <v>0</v>
      </c>
      <c r="X65" s="180">
        <f t="shared" si="34"/>
        <v>1</v>
      </c>
      <c r="Y65" s="264">
        <f t="shared" si="20"/>
        <v>-0.09302181832084244</v>
      </c>
    </row>
    <row r="66" spans="1:25" s="6" customFormat="1" ht="19.5" customHeight="1">
      <c r="A66" s="8"/>
      <c r="B66" s="108" t="s">
        <v>15</v>
      </c>
      <c r="C66" s="38">
        <v>22090000</v>
      </c>
      <c r="D66" s="345">
        <f>D67+D68+D70</f>
        <v>866</v>
      </c>
      <c r="E66" s="123">
        <v>866</v>
      </c>
      <c r="F66" s="123">
        <v>46.24</v>
      </c>
      <c r="G66" s="127">
        <v>46.24</v>
      </c>
      <c r="H66" s="123">
        <f t="shared" si="26"/>
        <v>0</v>
      </c>
      <c r="I66" s="280">
        <f t="shared" si="24"/>
        <v>1</v>
      </c>
      <c r="J66" s="136">
        <f t="shared" si="28"/>
        <v>-819.76</v>
      </c>
      <c r="K66" s="180">
        <f t="shared" si="25"/>
        <v>0.05339491916859122</v>
      </c>
      <c r="L66" s="136"/>
      <c r="M66" s="136"/>
      <c r="N66" s="136"/>
      <c r="O66" s="136">
        <v>896.22</v>
      </c>
      <c r="P66" s="136">
        <f t="shared" si="29"/>
        <v>-30.220000000000027</v>
      </c>
      <c r="Q66" s="180">
        <f t="shared" si="30"/>
        <v>0.9662806007453527</v>
      </c>
      <c r="R66" s="136">
        <v>40.09</v>
      </c>
      <c r="S66" s="136">
        <f t="shared" si="5"/>
        <v>6.149999999999999</v>
      </c>
      <c r="T66" s="180">
        <f t="shared" si="31"/>
        <v>1.153404839111998</v>
      </c>
      <c r="U66" s="128">
        <f t="shared" si="32"/>
        <v>46.24</v>
      </c>
      <c r="V66" s="131">
        <f t="shared" si="33"/>
        <v>46.24</v>
      </c>
      <c r="W66" s="132">
        <f t="shared" si="27"/>
        <v>0</v>
      </c>
      <c r="X66" s="180">
        <f t="shared" si="34"/>
        <v>1</v>
      </c>
      <c r="Y66" s="264">
        <f t="shared" si="20"/>
        <v>0.18712423836664527</v>
      </c>
    </row>
    <row r="67" spans="1:25" s="6" customFormat="1" ht="15" hidden="1">
      <c r="A67" s="8"/>
      <c r="B67" s="262" t="s">
        <v>92</v>
      </c>
      <c r="C67" s="162">
        <v>22090100</v>
      </c>
      <c r="D67" s="346">
        <v>728.2</v>
      </c>
      <c r="E67" s="87">
        <v>728.2</v>
      </c>
      <c r="F67" s="87">
        <v>34.42</v>
      </c>
      <c r="G67" s="115">
        <v>34.42</v>
      </c>
      <c r="H67" s="87">
        <f t="shared" si="26"/>
        <v>0</v>
      </c>
      <c r="I67" s="276">
        <f t="shared" si="24"/>
        <v>1</v>
      </c>
      <c r="J67" s="88">
        <f t="shared" si="28"/>
        <v>-693.7800000000001</v>
      </c>
      <c r="K67" s="91">
        <f t="shared" si="25"/>
        <v>0.04726723427629772</v>
      </c>
      <c r="L67" s="88"/>
      <c r="M67" s="88"/>
      <c r="N67" s="88"/>
      <c r="O67" s="88">
        <v>760.62</v>
      </c>
      <c r="P67" s="88">
        <f t="shared" si="29"/>
        <v>-32.41999999999996</v>
      </c>
      <c r="Q67" s="91">
        <f t="shared" si="30"/>
        <v>0.957376876758434</v>
      </c>
      <c r="R67" s="88">
        <v>32.81</v>
      </c>
      <c r="S67" s="270">
        <f t="shared" si="5"/>
        <v>1.6099999999999994</v>
      </c>
      <c r="T67" s="271">
        <f t="shared" si="31"/>
        <v>1.0490704053642181</v>
      </c>
      <c r="U67" s="89">
        <f aca="true" t="shared" si="35" ref="U67:V71">F67</f>
        <v>34.42</v>
      </c>
      <c r="V67" s="119">
        <f t="shared" si="35"/>
        <v>34.42</v>
      </c>
      <c r="W67" s="90">
        <f t="shared" si="27"/>
        <v>0</v>
      </c>
      <c r="X67" s="91">
        <f t="shared" si="34"/>
        <v>1</v>
      </c>
      <c r="Y67" s="264">
        <f t="shared" si="20"/>
        <v>0.09169352860578417</v>
      </c>
    </row>
    <row r="68" spans="1:25" s="6" customFormat="1" ht="15" hidden="1">
      <c r="A68" s="8"/>
      <c r="B68" s="262" t="s">
        <v>89</v>
      </c>
      <c r="C68" s="162">
        <v>22090200</v>
      </c>
      <c r="D68" s="346">
        <v>1</v>
      </c>
      <c r="E68" s="87">
        <v>1</v>
      </c>
      <c r="F68" s="87">
        <v>0</v>
      </c>
      <c r="G68" s="115">
        <v>0</v>
      </c>
      <c r="H68" s="87">
        <f t="shared" si="26"/>
        <v>0</v>
      </c>
      <c r="I68" s="276" t="e">
        <f t="shared" si="24"/>
        <v>#DIV/0!</v>
      </c>
      <c r="J68" s="88">
        <f t="shared" si="28"/>
        <v>-1</v>
      </c>
      <c r="K68" s="91">
        <f t="shared" si="25"/>
        <v>0</v>
      </c>
      <c r="L68" s="88"/>
      <c r="M68" s="88"/>
      <c r="N68" s="88"/>
      <c r="O68" s="88">
        <v>0.18</v>
      </c>
      <c r="P68" s="88">
        <f t="shared" si="29"/>
        <v>0.8200000000000001</v>
      </c>
      <c r="Q68" s="91">
        <f t="shared" si="30"/>
        <v>5.555555555555555</v>
      </c>
      <c r="R68" s="88">
        <v>0.01</v>
      </c>
      <c r="S68" s="270">
        <f t="shared" si="5"/>
        <v>-0.01</v>
      </c>
      <c r="T68" s="271">
        <f t="shared" si="31"/>
        <v>0</v>
      </c>
      <c r="U68" s="89">
        <f t="shared" si="35"/>
        <v>0</v>
      </c>
      <c r="V68" s="119">
        <f t="shared" si="35"/>
        <v>0</v>
      </c>
      <c r="W68" s="90">
        <f t="shared" si="27"/>
        <v>0</v>
      </c>
      <c r="X68" s="91"/>
      <c r="Y68" s="264">
        <f t="shared" si="20"/>
        <v>-5.555555555555555</v>
      </c>
    </row>
    <row r="69" spans="1:25" s="6" customFormat="1" ht="15" hidden="1">
      <c r="A69" s="8"/>
      <c r="B69" s="262" t="s">
        <v>90</v>
      </c>
      <c r="C69" s="101">
        <v>22090300</v>
      </c>
      <c r="D69" s="344"/>
      <c r="E69" s="87"/>
      <c r="F69" s="87">
        <v>0</v>
      </c>
      <c r="G69" s="115">
        <v>0</v>
      </c>
      <c r="H69" s="87">
        <f t="shared" si="26"/>
        <v>0</v>
      </c>
      <c r="I69" s="276" t="e">
        <f t="shared" si="24"/>
        <v>#DIV/0!</v>
      </c>
      <c r="J69" s="88">
        <f t="shared" si="28"/>
        <v>0</v>
      </c>
      <c r="K69" s="91" t="e">
        <f t="shared" si="25"/>
        <v>#DIV/0!</v>
      </c>
      <c r="L69" s="88"/>
      <c r="M69" s="88"/>
      <c r="N69" s="88"/>
      <c r="O69" s="88">
        <v>0</v>
      </c>
      <c r="P69" s="88">
        <f t="shared" si="29"/>
        <v>0</v>
      </c>
      <c r="Q69" s="91" t="e">
        <f t="shared" si="30"/>
        <v>#DIV/0!</v>
      </c>
      <c r="R69" s="88">
        <f>O69</f>
        <v>0</v>
      </c>
      <c r="S69" s="270">
        <f t="shared" si="5"/>
        <v>0</v>
      </c>
      <c r="T69" s="271" t="e">
        <f t="shared" si="31"/>
        <v>#DIV/0!</v>
      </c>
      <c r="U69" s="89">
        <f t="shared" si="35"/>
        <v>0</v>
      </c>
      <c r="V69" s="119">
        <f t="shared" si="35"/>
        <v>0</v>
      </c>
      <c r="W69" s="90">
        <f t="shared" si="27"/>
        <v>0</v>
      </c>
      <c r="X69" s="91"/>
      <c r="Y69" s="264" t="e">
        <f t="shared" si="20"/>
        <v>#DIV/0!</v>
      </c>
    </row>
    <row r="70" spans="1:25" s="6" customFormat="1" ht="15" hidden="1">
      <c r="A70" s="8"/>
      <c r="B70" s="262" t="s">
        <v>91</v>
      </c>
      <c r="C70" s="162">
        <v>22090400</v>
      </c>
      <c r="D70" s="346">
        <v>136.8</v>
      </c>
      <c r="E70" s="87">
        <v>136.8</v>
      </c>
      <c r="F70" s="87">
        <v>11.82</v>
      </c>
      <c r="G70" s="115">
        <v>11.82</v>
      </c>
      <c r="H70" s="87">
        <f t="shared" si="26"/>
        <v>0</v>
      </c>
      <c r="I70" s="276">
        <f t="shared" si="24"/>
        <v>1</v>
      </c>
      <c r="J70" s="88">
        <f t="shared" si="28"/>
        <v>-124.98000000000002</v>
      </c>
      <c r="K70" s="91">
        <f t="shared" si="25"/>
        <v>0.08640350877192982</v>
      </c>
      <c r="L70" s="88"/>
      <c r="M70" s="88"/>
      <c r="N70" s="88"/>
      <c r="O70" s="88">
        <v>135.42</v>
      </c>
      <c r="P70" s="88">
        <f t="shared" si="29"/>
        <v>1.3800000000000239</v>
      </c>
      <c r="Q70" s="91">
        <f t="shared" si="30"/>
        <v>1.01019051838724</v>
      </c>
      <c r="R70" s="88">
        <v>7.27</v>
      </c>
      <c r="S70" s="270">
        <f t="shared" si="5"/>
        <v>4.550000000000001</v>
      </c>
      <c r="T70" s="271">
        <f t="shared" si="31"/>
        <v>1.62585969738652</v>
      </c>
      <c r="U70" s="89">
        <f t="shared" si="35"/>
        <v>11.82</v>
      </c>
      <c r="V70" s="119">
        <f t="shared" si="35"/>
        <v>11.82</v>
      </c>
      <c r="W70" s="90">
        <f t="shared" si="27"/>
        <v>0</v>
      </c>
      <c r="X70" s="91">
        <f t="shared" si="34"/>
        <v>1</v>
      </c>
      <c r="Y70" s="264">
        <f t="shared" si="20"/>
        <v>0.6156691789992801</v>
      </c>
    </row>
    <row r="71" spans="1:25" s="6" customFormat="1" ht="46.5">
      <c r="A71" s="8"/>
      <c r="B71" s="108" t="s">
        <v>17</v>
      </c>
      <c r="C71" s="11" t="s">
        <v>18</v>
      </c>
      <c r="D71" s="365">
        <v>3</v>
      </c>
      <c r="E71" s="123">
        <v>3</v>
      </c>
      <c r="F71" s="123">
        <v>0</v>
      </c>
      <c r="G71" s="127">
        <v>0</v>
      </c>
      <c r="H71" s="123">
        <f t="shared" si="26"/>
        <v>0</v>
      </c>
      <c r="I71" s="280" t="e">
        <f t="shared" si="24"/>
        <v>#DIV/0!</v>
      </c>
      <c r="J71" s="136">
        <f t="shared" si="28"/>
        <v>-3</v>
      </c>
      <c r="K71" s="180">
        <f t="shared" si="25"/>
        <v>0</v>
      </c>
      <c r="L71" s="136"/>
      <c r="M71" s="136"/>
      <c r="N71" s="136"/>
      <c r="O71" s="136">
        <v>2.04</v>
      </c>
      <c r="P71" s="136">
        <f t="shared" si="29"/>
        <v>0.96</v>
      </c>
      <c r="Q71" s="180">
        <f t="shared" si="30"/>
        <v>1.4705882352941175</v>
      </c>
      <c r="R71" s="136">
        <v>1.67</v>
      </c>
      <c r="S71" s="136">
        <f t="shared" si="5"/>
        <v>-1.67</v>
      </c>
      <c r="T71" s="180">
        <f t="shared" si="31"/>
        <v>0</v>
      </c>
      <c r="U71" s="128">
        <f t="shared" si="35"/>
        <v>0</v>
      </c>
      <c r="V71" s="131">
        <f t="shared" si="35"/>
        <v>0</v>
      </c>
      <c r="W71" s="132">
        <f t="shared" si="27"/>
        <v>0</v>
      </c>
      <c r="X71" s="180"/>
      <c r="Y71" s="264">
        <f t="shared" si="20"/>
        <v>-1.4705882352941175</v>
      </c>
    </row>
    <row r="72" spans="1:25" s="6" customFormat="1" ht="15.75" customHeight="1">
      <c r="A72" s="8"/>
      <c r="B72" s="109" t="s">
        <v>13</v>
      </c>
      <c r="C72" s="11" t="s">
        <v>19</v>
      </c>
      <c r="D72" s="365">
        <v>8170</v>
      </c>
      <c r="E72" s="123">
        <v>8170</v>
      </c>
      <c r="F72" s="123">
        <v>568.65</v>
      </c>
      <c r="G72" s="127">
        <v>568.65</v>
      </c>
      <c r="H72" s="123">
        <f t="shared" si="26"/>
        <v>0</v>
      </c>
      <c r="I72" s="280">
        <f t="shared" si="24"/>
        <v>1</v>
      </c>
      <c r="J72" s="136">
        <f t="shared" si="28"/>
        <v>-7601.35</v>
      </c>
      <c r="K72" s="180">
        <f t="shared" si="25"/>
        <v>0.06960220318237453</v>
      </c>
      <c r="L72" s="136"/>
      <c r="M72" s="136"/>
      <c r="N72" s="136"/>
      <c r="O72" s="136">
        <v>8086.92</v>
      </c>
      <c r="P72" s="136">
        <f t="shared" si="29"/>
        <v>83.07999999999993</v>
      </c>
      <c r="Q72" s="180">
        <f t="shared" si="30"/>
        <v>1.0102733797292418</v>
      </c>
      <c r="R72" s="136">
        <v>2247.33</v>
      </c>
      <c r="S72" s="136">
        <f t="shared" si="5"/>
        <v>-1678.6799999999998</v>
      </c>
      <c r="T72" s="180">
        <f t="shared" si="31"/>
        <v>0.2530335998718479</v>
      </c>
      <c r="U72" s="128">
        <f aca="true" t="shared" si="36" ref="U72:U78">F72</f>
        <v>568.65</v>
      </c>
      <c r="V72" s="131">
        <f aca="true" t="shared" si="37" ref="V72:V78">G72</f>
        <v>568.65</v>
      </c>
      <c r="W72" s="132">
        <f t="shared" si="27"/>
        <v>0</v>
      </c>
      <c r="X72" s="180">
        <f t="shared" si="34"/>
        <v>1</v>
      </c>
      <c r="Y72" s="264">
        <f t="shared" si="20"/>
        <v>-0.7572397798573939</v>
      </c>
    </row>
    <row r="73" spans="1:25" s="6" customFormat="1" ht="18" hidden="1">
      <c r="A73" s="8"/>
      <c r="B73" s="12" t="s">
        <v>22</v>
      </c>
      <c r="C73" s="56" t="s">
        <v>23</v>
      </c>
      <c r="D73" s="366"/>
      <c r="E73" s="28"/>
      <c r="F73" s="28">
        <v>0</v>
      </c>
      <c r="G73" s="114">
        <v>0</v>
      </c>
      <c r="H73" s="123">
        <f t="shared" si="26"/>
        <v>0</v>
      </c>
      <c r="I73" s="280" t="e">
        <f>G73/F73*100</f>
        <v>#DIV/0!</v>
      </c>
      <c r="J73" s="136">
        <f t="shared" si="28"/>
        <v>0</v>
      </c>
      <c r="K73" s="180" t="e">
        <f>G73/E73*100</f>
        <v>#DIV/0!</v>
      </c>
      <c r="L73" s="136"/>
      <c r="M73" s="136"/>
      <c r="N73" s="136"/>
      <c r="O73" s="136"/>
      <c r="P73" s="136"/>
      <c r="Q73" s="180"/>
      <c r="R73" s="136">
        <v>0</v>
      </c>
      <c r="S73" s="136">
        <f t="shared" si="5"/>
        <v>0</v>
      </c>
      <c r="T73" s="180" t="e">
        <f t="shared" si="31"/>
        <v>#DIV/0!</v>
      </c>
      <c r="U73" s="128">
        <f t="shared" si="36"/>
        <v>0</v>
      </c>
      <c r="V73" s="131">
        <f t="shared" si="37"/>
        <v>0</v>
      </c>
      <c r="W73" s="132">
        <f t="shared" si="27"/>
        <v>0</v>
      </c>
      <c r="X73" s="180" t="e">
        <f t="shared" si="34"/>
        <v>#DIV/0!</v>
      </c>
      <c r="Y73" s="264" t="e">
        <f t="shared" si="20"/>
        <v>#DIV/0!</v>
      </c>
    </row>
    <row r="74" spans="1:25" s="6" customFormat="1" ht="30.75" hidden="1">
      <c r="A74" s="8"/>
      <c r="B74" s="45" t="s">
        <v>40</v>
      </c>
      <c r="C74" s="56"/>
      <c r="D74" s="366"/>
      <c r="E74" s="87"/>
      <c r="F74" s="87"/>
      <c r="G74" s="165">
        <v>0</v>
      </c>
      <c r="H74" s="204"/>
      <c r="I74" s="280"/>
      <c r="J74" s="205"/>
      <c r="K74" s="230"/>
      <c r="L74" s="205"/>
      <c r="M74" s="205"/>
      <c r="N74" s="205"/>
      <c r="O74" s="205">
        <v>1411.18</v>
      </c>
      <c r="P74" s="136"/>
      <c r="Q74" s="180"/>
      <c r="R74" s="137">
        <f>O74</f>
        <v>1411.18</v>
      </c>
      <c r="S74" s="205"/>
      <c r="T74" s="230">
        <f t="shared" si="31"/>
        <v>0</v>
      </c>
      <c r="U74" s="128">
        <f t="shared" si="36"/>
        <v>0</v>
      </c>
      <c r="V74" s="131">
        <f t="shared" si="37"/>
        <v>0</v>
      </c>
      <c r="W74" s="137">
        <f t="shared" si="27"/>
        <v>0</v>
      </c>
      <c r="X74" s="180"/>
      <c r="Y74" s="264"/>
    </row>
    <row r="75" spans="1:25" s="6" customFormat="1" ht="18" hidden="1">
      <c r="A75" s="8"/>
      <c r="B75" s="109" t="s">
        <v>20</v>
      </c>
      <c r="C75" s="106" t="s">
        <v>21</v>
      </c>
      <c r="D75" s="367"/>
      <c r="E75" s="31"/>
      <c r="F75" s="31">
        <v>0</v>
      </c>
      <c r="G75" s="116">
        <v>0</v>
      </c>
      <c r="H75" s="123">
        <f t="shared" si="26"/>
        <v>0</v>
      </c>
      <c r="I75" s="280" t="e">
        <f>G75/F75*100</f>
        <v>#DIV/0!</v>
      </c>
      <c r="J75" s="136">
        <f t="shared" si="28"/>
        <v>0</v>
      </c>
      <c r="K75" s="180" t="e">
        <f>G75/E75*100</f>
        <v>#DIV/0!</v>
      </c>
      <c r="L75" s="136"/>
      <c r="M75" s="136"/>
      <c r="N75" s="136"/>
      <c r="O75" s="136"/>
      <c r="P75" s="136"/>
      <c r="Q75" s="180"/>
      <c r="R75" s="137">
        <v>0</v>
      </c>
      <c r="S75" s="136">
        <f t="shared" si="5"/>
        <v>0</v>
      </c>
      <c r="T75" s="180" t="e">
        <f t="shared" si="31"/>
        <v>#DIV/0!</v>
      </c>
      <c r="U75" s="128">
        <f t="shared" si="36"/>
        <v>0</v>
      </c>
      <c r="V75" s="131">
        <f t="shared" si="37"/>
        <v>0</v>
      </c>
      <c r="W75" s="132">
        <f t="shared" si="27"/>
        <v>0</v>
      </c>
      <c r="X75" s="180" t="e">
        <f t="shared" si="34"/>
        <v>#DIV/0!</v>
      </c>
      <c r="Y75" s="264" t="e">
        <f t="shared" si="20"/>
        <v>#DIV/0!</v>
      </c>
    </row>
    <row r="76" spans="1:25" s="6" customFormat="1" ht="44.25" customHeight="1">
      <c r="A76" s="8"/>
      <c r="B76" s="109" t="s">
        <v>41</v>
      </c>
      <c r="C76" s="38">
        <v>24061900</v>
      </c>
      <c r="D76" s="345">
        <v>174.4</v>
      </c>
      <c r="E76" s="123">
        <v>174.4</v>
      </c>
      <c r="F76" s="123">
        <v>0</v>
      </c>
      <c r="G76" s="127">
        <v>0</v>
      </c>
      <c r="H76" s="123">
        <f t="shared" si="26"/>
        <v>0</v>
      </c>
      <c r="I76" s="280" t="e">
        <f>G76/F76</f>
        <v>#DIV/0!</v>
      </c>
      <c r="J76" s="136">
        <f t="shared" si="28"/>
        <v>-174.4</v>
      </c>
      <c r="K76" s="180">
        <f>G76/E76</f>
        <v>0</v>
      </c>
      <c r="L76" s="136"/>
      <c r="M76" s="136"/>
      <c r="N76" s="136"/>
      <c r="O76" s="136">
        <v>142.18</v>
      </c>
      <c r="P76" s="136">
        <f>E76-O76</f>
        <v>32.22</v>
      </c>
      <c r="Q76" s="180">
        <f>E76/O76</f>
        <v>1.2266141510761006</v>
      </c>
      <c r="R76" s="136">
        <v>32.89</v>
      </c>
      <c r="S76" s="136">
        <f t="shared" si="5"/>
        <v>-32.89</v>
      </c>
      <c r="T76" s="180">
        <f t="shared" si="31"/>
        <v>0</v>
      </c>
      <c r="U76" s="128">
        <f t="shared" si="36"/>
        <v>0</v>
      </c>
      <c r="V76" s="131">
        <f t="shared" si="37"/>
        <v>0</v>
      </c>
      <c r="W76" s="132">
        <f t="shared" si="27"/>
        <v>0</v>
      </c>
      <c r="X76" s="180" t="e">
        <f t="shared" si="34"/>
        <v>#DIV/0!</v>
      </c>
      <c r="Y76" s="264">
        <f t="shared" si="20"/>
        <v>-1.2266141510761006</v>
      </c>
    </row>
    <row r="77" spans="1:25" s="6" customFormat="1" ht="27.75" customHeight="1">
      <c r="A77" s="8"/>
      <c r="B77" s="109" t="s">
        <v>42</v>
      </c>
      <c r="C77" s="38">
        <v>31010200</v>
      </c>
      <c r="D77" s="345">
        <v>35</v>
      </c>
      <c r="E77" s="123">
        <v>35</v>
      </c>
      <c r="F77" s="123">
        <v>3.77</v>
      </c>
      <c r="G77" s="127">
        <v>3.77</v>
      </c>
      <c r="H77" s="123">
        <f t="shared" si="26"/>
        <v>0</v>
      </c>
      <c r="I77" s="280">
        <f>G77/F77</f>
        <v>1</v>
      </c>
      <c r="J77" s="136">
        <f t="shared" si="28"/>
        <v>-31.23</v>
      </c>
      <c r="K77" s="180">
        <f>G77/E77</f>
        <v>0.10771428571428572</v>
      </c>
      <c r="L77" s="136"/>
      <c r="M77" s="136"/>
      <c r="N77" s="136"/>
      <c r="O77" s="136">
        <v>34.22</v>
      </c>
      <c r="P77" s="136">
        <f>E77-O77</f>
        <v>0.7800000000000011</v>
      </c>
      <c r="Q77" s="180">
        <f>E77/O77</f>
        <v>1.0227936879018118</v>
      </c>
      <c r="R77" s="136">
        <v>1.49</v>
      </c>
      <c r="S77" s="136">
        <f t="shared" si="5"/>
        <v>2.2800000000000002</v>
      </c>
      <c r="T77" s="180">
        <f t="shared" si="31"/>
        <v>2.530201342281879</v>
      </c>
      <c r="U77" s="128">
        <f t="shared" si="36"/>
        <v>3.77</v>
      </c>
      <c r="V77" s="131">
        <f t="shared" si="37"/>
        <v>3.77</v>
      </c>
      <c r="W77" s="132">
        <f t="shared" si="27"/>
        <v>0</v>
      </c>
      <c r="X77" s="180">
        <f t="shared" si="34"/>
        <v>1</v>
      </c>
      <c r="Y77" s="264">
        <f t="shared" si="20"/>
        <v>1.5074076543800674</v>
      </c>
    </row>
    <row r="78" spans="1:25" s="6" customFormat="1" ht="30.75" hidden="1">
      <c r="A78" s="8"/>
      <c r="B78" s="109" t="s">
        <v>55</v>
      </c>
      <c r="C78" s="38">
        <v>31020000</v>
      </c>
      <c r="D78" s="341"/>
      <c r="E78" s="123"/>
      <c r="F78" s="123">
        <f>E78</f>
        <v>0</v>
      </c>
      <c r="G78" s="127">
        <v>0</v>
      </c>
      <c r="H78" s="123">
        <f t="shared" si="26"/>
        <v>0</v>
      </c>
      <c r="I78" s="280" t="e">
        <f>G78/F78</f>
        <v>#DIV/0!</v>
      </c>
      <c r="J78" s="136">
        <f t="shared" si="28"/>
        <v>0</v>
      </c>
      <c r="K78" s="180"/>
      <c r="L78" s="136"/>
      <c r="M78" s="136"/>
      <c r="N78" s="136"/>
      <c r="O78" s="136">
        <v>-4.86</v>
      </c>
      <c r="P78" s="136">
        <f>E78-O78</f>
        <v>4.86</v>
      </c>
      <c r="Q78" s="180">
        <f>E78/O78</f>
        <v>0</v>
      </c>
      <c r="R78" s="136">
        <v>0</v>
      </c>
      <c r="S78" s="136">
        <f t="shared" si="5"/>
        <v>0</v>
      </c>
      <c r="T78" s="180" t="e">
        <f t="shared" si="31"/>
        <v>#DIV/0!</v>
      </c>
      <c r="U78" s="128">
        <f t="shared" si="36"/>
        <v>0</v>
      </c>
      <c r="V78" s="131">
        <f t="shared" si="37"/>
        <v>0</v>
      </c>
      <c r="W78" s="132">
        <f t="shared" si="27"/>
        <v>0</v>
      </c>
      <c r="X78" s="180"/>
      <c r="Y78" s="264" t="e">
        <f t="shared" si="20"/>
        <v>#DIV/0!</v>
      </c>
    </row>
    <row r="79" spans="1:25" s="6" customFormat="1" ht="17.25">
      <c r="A79" s="9"/>
      <c r="B79" s="13" t="s">
        <v>124</v>
      </c>
      <c r="C79" s="57"/>
      <c r="D79" s="124">
        <f>D8+D53+D77+D78</f>
        <v>1627917.7</v>
      </c>
      <c r="E79" s="124">
        <f>E8+E53+E77+E78</f>
        <v>1627917.7</v>
      </c>
      <c r="F79" s="124">
        <f>F8+F53+F77+F78</f>
        <v>115278.549</v>
      </c>
      <c r="G79" s="124">
        <f>G8+G53+G77+G78</f>
        <v>115278.54</v>
      </c>
      <c r="H79" s="124">
        <f>G79-F79</f>
        <v>-0.00900000000547152</v>
      </c>
      <c r="I79" s="277">
        <f>G79/F79</f>
        <v>0.9999999219282331</v>
      </c>
      <c r="J79" s="125">
        <f>G79-E79</f>
        <v>-1512639.16</v>
      </c>
      <c r="K79" s="181">
        <f>G79/E79</f>
        <v>0.07081349382711423</v>
      </c>
      <c r="L79" s="125"/>
      <c r="M79" s="125"/>
      <c r="N79" s="125"/>
      <c r="O79" s="125">
        <v>1398996.46</v>
      </c>
      <c r="P79" s="125">
        <f>E79-O79</f>
        <v>228921.24</v>
      </c>
      <c r="Q79" s="181">
        <f>E79/O79</f>
        <v>1.163632465517461</v>
      </c>
      <c r="R79" s="124">
        <v>98086.18</v>
      </c>
      <c r="S79" s="125">
        <f>G79-R79</f>
        <v>17192.36</v>
      </c>
      <c r="T79" s="181">
        <f>G79/R79</f>
        <v>1.1752781074765069</v>
      </c>
      <c r="U79" s="124">
        <f>U8+U53+U77+U78</f>
        <v>115278.549</v>
      </c>
      <c r="V79" s="124">
        <f>V8+V53+V77+V78</f>
        <v>115278.54</v>
      </c>
      <c r="W79" s="159">
        <f>V79-U79</f>
        <v>-0.00900000000547152</v>
      </c>
      <c r="X79" s="181">
        <f>V79/U79</f>
        <v>0.9999999219282331</v>
      </c>
      <c r="Y79" s="264">
        <f t="shared" si="20"/>
        <v>0.011645641959045827</v>
      </c>
    </row>
    <row r="80" spans="1:25" s="43" customFormat="1" ht="17.25" hidden="1">
      <c r="A80" s="40"/>
      <c r="B80" s="50"/>
      <c r="C80" s="58"/>
      <c r="D80" s="58"/>
      <c r="E80" s="41"/>
      <c r="F80" s="41"/>
      <c r="G80" s="77"/>
      <c r="H80" s="72"/>
      <c r="I80" s="281"/>
      <c r="J80" s="49"/>
      <c r="K80" s="84"/>
      <c r="L80" s="32"/>
      <c r="M80" s="32"/>
      <c r="N80" s="32"/>
      <c r="O80" s="32"/>
      <c r="P80" s="32"/>
      <c r="Q80" s="84"/>
      <c r="R80" s="32"/>
      <c r="S80" s="32"/>
      <c r="T80" s="32"/>
      <c r="U80" s="42"/>
      <c r="V80" s="41"/>
      <c r="W80" s="74"/>
      <c r="X80" s="84"/>
      <c r="Y80" s="264">
        <f t="shared" si="20"/>
        <v>0</v>
      </c>
    </row>
    <row r="81" spans="1:25" s="43" customFormat="1" ht="17.25" hidden="1">
      <c r="A81" s="40"/>
      <c r="B81" s="51"/>
      <c r="C81" s="58"/>
      <c r="D81" s="58"/>
      <c r="E81" s="52"/>
      <c r="F81" s="41"/>
      <c r="G81" s="77"/>
      <c r="H81" s="36"/>
      <c r="I81" s="281"/>
      <c r="J81" s="53"/>
      <c r="K81" s="84"/>
      <c r="L81" s="32"/>
      <c r="M81" s="32"/>
      <c r="N81" s="32"/>
      <c r="O81" s="32"/>
      <c r="P81" s="32"/>
      <c r="Q81" s="84"/>
      <c r="R81" s="32"/>
      <c r="S81" s="32"/>
      <c r="T81" s="32"/>
      <c r="U81" s="27"/>
      <c r="V81" s="41"/>
      <c r="W81" s="54"/>
      <c r="X81" s="84"/>
      <c r="Y81" s="264">
        <f t="shared" si="20"/>
        <v>0</v>
      </c>
    </row>
    <row r="82" spans="1:25" s="43" customFormat="1" ht="17.25" hidden="1">
      <c r="A82" s="40"/>
      <c r="B82" s="51"/>
      <c r="C82" s="58"/>
      <c r="D82" s="58"/>
      <c r="E82" s="52"/>
      <c r="F82" s="31"/>
      <c r="G82" s="92"/>
      <c r="H82" s="36"/>
      <c r="I82" s="281"/>
      <c r="J82" s="53"/>
      <c r="K82" s="84"/>
      <c r="L82" s="32"/>
      <c r="M82" s="32"/>
      <c r="N82" s="32"/>
      <c r="O82" s="32"/>
      <c r="P82" s="32"/>
      <c r="Q82" s="84"/>
      <c r="R82" s="32"/>
      <c r="S82" s="32"/>
      <c r="T82" s="32"/>
      <c r="U82" s="27"/>
      <c r="V82" s="52"/>
      <c r="W82" s="74"/>
      <c r="X82" s="84"/>
      <c r="Y82" s="264">
        <f t="shared" si="20"/>
        <v>0</v>
      </c>
    </row>
    <row r="83" spans="2:25" ht="15">
      <c r="B83" s="21" t="s">
        <v>100</v>
      </c>
      <c r="C83" s="59"/>
      <c r="D83" s="59"/>
      <c r="E83" s="23"/>
      <c r="F83" s="23"/>
      <c r="G83" s="117"/>
      <c r="H83" s="31"/>
      <c r="I83" s="282"/>
      <c r="J83" s="35"/>
      <c r="K83" s="85"/>
      <c r="L83" s="35"/>
      <c r="M83" s="35"/>
      <c r="N83" s="35"/>
      <c r="O83" s="35"/>
      <c r="P83" s="35"/>
      <c r="Q83" s="85"/>
      <c r="R83" s="35"/>
      <c r="S83" s="35"/>
      <c r="T83" s="35"/>
      <c r="U83" s="28"/>
      <c r="V83" s="121"/>
      <c r="W83" s="33"/>
      <c r="X83" s="85"/>
      <c r="Y83" s="264">
        <f t="shared" si="20"/>
        <v>0</v>
      </c>
    </row>
    <row r="84" spans="2:25" ht="25.5" customHeight="1" hidden="1">
      <c r="B84" s="192" t="s">
        <v>95</v>
      </c>
      <c r="C84" s="111">
        <v>12020000</v>
      </c>
      <c r="D84" s="353"/>
      <c r="E84" s="146">
        <v>0</v>
      </c>
      <c r="F84" s="146"/>
      <c r="G84" s="147">
        <v>0.01</v>
      </c>
      <c r="H84" s="133"/>
      <c r="I84" s="280"/>
      <c r="J84" s="138"/>
      <c r="K84" s="172"/>
      <c r="L84" s="138"/>
      <c r="M84" s="138"/>
      <c r="N84" s="138"/>
      <c r="O84" s="138"/>
      <c r="P84" s="138"/>
      <c r="Q84" s="172"/>
      <c r="R84" s="138">
        <f>O84</f>
        <v>0</v>
      </c>
      <c r="S84" s="138">
        <f>G84-R84</f>
        <v>0.01</v>
      </c>
      <c r="T84" s="172" t="e">
        <f>G84/R84</f>
        <v>#DIV/0!</v>
      </c>
      <c r="U84" s="133">
        <f>F84</f>
        <v>0</v>
      </c>
      <c r="V84" s="131">
        <f>G84</f>
        <v>0.01</v>
      </c>
      <c r="W84" s="138"/>
      <c r="X84" s="172"/>
      <c r="Y84" s="264" t="e">
        <f t="shared" si="20"/>
        <v>#DIV/0!</v>
      </c>
    </row>
    <row r="85" spans="2:25" ht="31.5" hidden="1">
      <c r="B85" s="22" t="s">
        <v>60</v>
      </c>
      <c r="C85" s="68">
        <v>18041500</v>
      </c>
      <c r="D85" s="354"/>
      <c r="E85" s="146">
        <v>0</v>
      </c>
      <c r="F85" s="146">
        <v>0</v>
      </c>
      <c r="G85" s="147">
        <v>0</v>
      </c>
      <c r="H85" s="133">
        <f>G85-F85</f>
        <v>0</v>
      </c>
      <c r="I85" s="280"/>
      <c r="J85" s="138">
        <f>G85-E85</f>
        <v>0</v>
      </c>
      <c r="K85" s="172"/>
      <c r="L85" s="138"/>
      <c r="M85" s="138"/>
      <c r="N85" s="138"/>
      <c r="O85" s="138">
        <v>-2.64</v>
      </c>
      <c r="P85" s="138">
        <f>E85-O85</f>
        <v>2.64</v>
      </c>
      <c r="Q85" s="172">
        <f>E85/O85</f>
        <v>0</v>
      </c>
      <c r="R85" s="138">
        <v>0</v>
      </c>
      <c r="S85" s="138">
        <f>G85-R85</f>
        <v>0</v>
      </c>
      <c r="T85" s="172" t="e">
        <f>G85/R85</f>
        <v>#DIV/0!</v>
      </c>
      <c r="U85" s="133">
        <f>F85</f>
        <v>0</v>
      </c>
      <c r="V85" s="131">
        <f>G85</f>
        <v>0</v>
      </c>
      <c r="W85" s="138">
        <f>V85-U85</f>
        <v>0</v>
      </c>
      <c r="X85" s="172"/>
      <c r="Y85" s="264" t="e">
        <f t="shared" si="20"/>
        <v>#DIV/0!</v>
      </c>
    </row>
    <row r="86" spans="2:25" ht="17.25" hidden="1">
      <c r="B86" s="25" t="s">
        <v>43</v>
      </c>
      <c r="C86" s="69"/>
      <c r="D86" s="148">
        <f>D85</f>
        <v>0</v>
      </c>
      <c r="E86" s="148">
        <f>E85</f>
        <v>0</v>
      </c>
      <c r="F86" s="148">
        <f>F85</f>
        <v>0</v>
      </c>
      <c r="G86" s="149">
        <f>SUM(G84:G85)</f>
        <v>0.01</v>
      </c>
      <c r="H86" s="150">
        <f>G86-F86</f>
        <v>0.01</v>
      </c>
      <c r="I86" s="283"/>
      <c r="J86" s="152">
        <f>G86-E86</f>
        <v>0.01</v>
      </c>
      <c r="K86" s="176"/>
      <c r="L86" s="152"/>
      <c r="M86" s="152"/>
      <c r="N86" s="152"/>
      <c r="O86" s="152">
        <v>-2.64</v>
      </c>
      <c r="P86" s="152">
        <f>E86-O86</f>
        <v>2.64</v>
      </c>
      <c r="Q86" s="176">
        <f>E86/O86</f>
        <v>0</v>
      </c>
      <c r="R86" s="152">
        <v>0</v>
      </c>
      <c r="S86" s="152">
        <f aca="true" t="shared" si="38" ref="S86:S98">G86-R86</f>
        <v>0.01</v>
      </c>
      <c r="T86" s="176" t="e">
        <f aca="true" t="shared" si="39" ref="T86:T101">G86/R86</f>
        <v>#DIV/0!</v>
      </c>
      <c r="U86" s="150">
        <f>SUM(U84:U85)</f>
        <v>0</v>
      </c>
      <c r="V86" s="153">
        <f>SUM(V84:V85)</f>
        <v>0.01</v>
      </c>
      <c r="W86" s="152">
        <f>V86-U86</f>
        <v>0.01</v>
      </c>
      <c r="X86" s="176"/>
      <c r="Y86" s="264" t="e">
        <f t="shared" si="20"/>
        <v>#DIV/0!</v>
      </c>
    </row>
    <row r="87" spans="2:25" ht="45.75" hidden="1">
      <c r="B87" s="25" t="s">
        <v>35</v>
      </c>
      <c r="C87" s="111">
        <v>21110000</v>
      </c>
      <c r="D87" s="353">
        <v>0</v>
      </c>
      <c r="E87" s="148">
        <v>0</v>
      </c>
      <c r="F87" s="148">
        <v>0</v>
      </c>
      <c r="G87" s="149">
        <v>0</v>
      </c>
      <c r="H87" s="150">
        <f aca="true" t="shared" si="40" ref="H87:H98">G87-F87</f>
        <v>0</v>
      </c>
      <c r="I87" s="283"/>
      <c r="J87" s="152">
        <f>G87-E87</f>
        <v>0</v>
      </c>
      <c r="K87" s="176"/>
      <c r="L87" s="152"/>
      <c r="M87" s="152"/>
      <c r="N87" s="152"/>
      <c r="O87" s="152">
        <v>35.57</v>
      </c>
      <c r="P87" s="152">
        <f aca="true" t="shared" si="41" ref="P87:P98">E87-O87</f>
        <v>-35.57</v>
      </c>
      <c r="Q87" s="176">
        <f aca="true" t="shared" si="42" ref="Q87:Q98">E87/O87</f>
        <v>0</v>
      </c>
      <c r="R87" s="152">
        <v>11.81</v>
      </c>
      <c r="S87" s="152">
        <f t="shared" si="38"/>
        <v>-11.81</v>
      </c>
      <c r="T87" s="172"/>
      <c r="U87" s="151">
        <f aca="true" t="shared" si="43" ref="U87:V91">F87</f>
        <v>0</v>
      </c>
      <c r="V87" s="222">
        <f t="shared" si="43"/>
        <v>0</v>
      </c>
      <c r="W87" s="152">
        <f aca="true" t="shared" si="44" ref="W87:W98">V87-U87</f>
        <v>0</v>
      </c>
      <c r="X87" s="176"/>
      <c r="Y87" s="264"/>
    </row>
    <row r="88" spans="2:25" ht="31.5">
      <c r="B88" s="22" t="s">
        <v>28</v>
      </c>
      <c r="C88" s="68">
        <v>31030000</v>
      </c>
      <c r="D88" s="368">
        <v>5000</v>
      </c>
      <c r="E88" s="146">
        <v>5000</v>
      </c>
      <c r="F88" s="146">
        <v>806.429</v>
      </c>
      <c r="G88" s="147">
        <v>806.43</v>
      </c>
      <c r="H88" s="133">
        <f t="shared" si="40"/>
        <v>0.0009999999999763531</v>
      </c>
      <c r="I88" s="280">
        <f>G88/F88</f>
        <v>1.0000012400347706</v>
      </c>
      <c r="J88" s="138">
        <f>G88-E88</f>
        <v>-4193.57</v>
      </c>
      <c r="K88" s="172">
        <f>G88/E88</f>
        <v>0.16128599999999998</v>
      </c>
      <c r="L88" s="138"/>
      <c r="M88" s="138"/>
      <c r="N88" s="138"/>
      <c r="O88" s="138">
        <v>938.14</v>
      </c>
      <c r="P88" s="138">
        <f t="shared" si="41"/>
        <v>4061.86</v>
      </c>
      <c r="Q88" s="172">
        <f t="shared" si="42"/>
        <v>5.329694928262306</v>
      </c>
      <c r="R88" s="138">
        <v>0.04</v>
      </c>
      <c r="S88" s="138">
        <f t="shared" si="38"/>
        <v>806.39</v>
      </c>
      <c r="T88" s="172">
        <f t="shared" si="39"/>
        <v>20160.75</v>
      </c>
      <c r="U88" s="128">
        <f t="shared" si="43"/>
        <v>806.429</v>
      </c>
      <c r="V88" s="131">
        <f t="shared" si="43"/>
        <v>806.43</v>
      </c>
      <c r="W88" s="138">
        <f t="shared" si="44"/>
        <v>0.0009999999999763531</v>
      </c>
      <c r="X88" s="172">
        <f>V88/U88</f>
        <v>1.0000012400347706</v>
      </c>
      <c r="Y88" s="264">
        <f t="shared" si="20"/>
        <v>20155.420305071737</v>
      </c>
    </row>
    <row r="89" spans="2:25" ht="18">
      <c r="B89" s="22" t="s">
        <v>29</v>
      </c>
      <c r="C89" s="68">
        <v>33010000</v>
      </c>
      <c r="D89" s="368">
        <v>16449</v>
      </c>
      <c r="E89" s="146">
        <v>16449</v>
      </c>
      <c r="F89" s="146">
        <v>15</v>
      </c>
      <c r="G89" s="147">
        <v>15</v>
      </c>
      <c r="H89" s="133">
        <f t="shared" si="40"/>
        <v>0</v>
      </c>
      <c r="I89" s="280">
        <f>G89/F89</f>
        <v>1</v>
      </c>
      <c r="J89" s="138">
        <f aca="true" t="shared" si="45" ref="J89:J98">G89-E89</f>
        <v>-16434</v>
      </c>
      <c r="K89" s="172">
        <f>G89/E89</f>
        <v>0.0009119095385737735</v>
      </c>
      <c r="L89" s="138"/>
      <c r="M89" s="138"/>
      <c r="N89" s="138"/>
      <c r="O89" s="138">
        <v>8143.65</v>
      </c>
      <c r="P89" s="138">
        <f t="shared" si="41"/>
        <v>8305.35</v>
      </c>
      <c r="Q89" s="172">
        <f t="shared" si="42"/>
        <v>2.0198559613932328</v>
      </c>
      <c r="R89" s="138">
        <v>1.9</v>
      </c>
      <c r="S89" s="138">
        <f t="shared" si="38"/>
        <v>13.1</v>
      </c>
      <c r="T89" s="172">
        <f t="shared" si="39"/>
        <v>7.894736842105264</v>
      </c>
      <c r="U89" s="128">
        <f t="shared" si="43"/>
        <v>15</v>
      </c>
      <c r="V89" s="131">
        <f t="shared" si="43"/>
        <v>15</v>
      </c>
      <c r="W89" s="138">
        <f t="shared" si="44"/>
        <v>0</v>
      </c>
      <c r="X89" s="172">
        <f>V89/U89</f>
        <v>1</v>
      </c>
      <c r="Y89" s="264">
        <f t="shared" si="20"/>
        <v>5.8748808807120305</v>
      </c>
    </row>
    <row r="90" spans="2:25" ht="31.5">
      <c r="B90" s="22" t="s">
        <v>52</v>
      </c>
      <c r="C90" s="68">
        <v>24170000</v>
      </c>
      <c r="D90" s="368">
        <v>22000</v>
      </c>
      <c r="E90" s="146">
        <v>22000</v>
      </c>
      <c r="F90" s="146">
        <v>157</v>
      </c>
      <c r="G90" s="147">
        <v>157.01</v>
      </c>
      <c r="H90" s="133">
        <f t="shared" si="40"/>
        <v>0.009999999999990905</v>
      </c>
      <c r="I90" s="280">
        <f>G90/F90</f>
        <v>1.0000636942675158</v>
      </c>
      <c r="J90" s="138">
        <f t="shared" si="45"/>
        <v>-21842.99</v>
      </c>
      <c r="K90" s="172">
        <f>G90/E90</f>
        <v>0.007136818181818182</v>
      </c>
      <c r="L90" s="138"/>
      <c r="M90" s="138"/>
      <c r="N90" s="138"/>
      <c r="O90" s="138">
        <v>17305.88</v>
      </c>
      <c r="P90" s="138">
        <f t="shared" si="41"/>
        <v>4694.119999999999</v>
      </c>
      <c r="Q90" s="172">
        <f t="shared" si="42"/>
        <v>1.2712442245063527</v>
      </c>
      <c r="R90" s="138">
        <v>90.12</v>
      </c>
      <c r="S90" s="138">
        <f t="shared" si="38"/>
        <v>66.88999999999999</v>
      </c>
      <c r="T90" s="172">
        <f t="shared" si="39"/>
        <v>1.7422325787838435</v>
      </c>
      <c r="U90" s="128">
        <f t="shared" si="43"/>
        <v>157</v>
      </c>
      <c r="V90" s="131">
        <f t="shared" si="43"/>
        <v>157.01</v>
      </c>
      <c r="W90" s="138">
        <f t="shared" si="44"/>
        <v>0.009999999999990905</v>
      </c>
      <c r="X90" s="172">
        <f>V90/U90</f>
        <v>1.0000636942675158</v>
      </c>
      <c r="Y90" s="264">
        <f t="shared" si="20"/>
        <v>0.47098835427749086</v>
      </c>
    </row>
    <row r="91" spans="2:25" ht="18">
      <c r="B91" s="22" t="s">
        <v>96</v>
      </c>
      <c r="C91" s="68">
        <v>24110700</v>
      </c>
      <c r="D91" s="368">
        <v>24</v>
      </c>
      <c r="E91" s="146">
        <v>24</v>
      </c>
      <c r="F91" s="146">
        <v>1</v>
      </c>
      <c r="G91" s="147">
        <v>1</v>
      </c>
      <c r="H91" s="133">
        <f t="shared" si="40"/>
        <v>0</v>
      </c>
      <c r="I91" s="280">
        <f>G91/F91</f>
        <v>1</v>
      </c>
      <c r="J91" s="138">
        <f t="shared" si="45"/>
        <v>-23</v>
      </c>
      <c r="K91" s="172">
        <f>G91/E91</f>
        <v>0.041666666666666664</v>
      </c>
      <c r="L91" s="138"/>
      <c r="M91" s="138"/>
      <c r="N91" s="138"/>
      <c r="O91" s="138">
        <v>20</v>
      </c>
      <c r="P91" s="138">
        <f t="shared" si="41"/>
        <v>4</v>
      </c>
      <c r="Q91" s="172">
        <f t="shared" si="42"/>
        <v>1.2</v>
      </c>
      <c r="R91" s="138">
        <v>1</v>
      </c>
      <c r="S91" s="138">
        <f t="shared" si="38"/>
        <v>0</v>
      </c>
      <c r="T91" s="172">
        <f t="shared" si="39"/>
        <v>1</v>
      </c>
      <c r="U91" s="128">
        <f t="shared" si="43"/>
        <v>1</v>
      </c>
      <c r="V91" s="131">
        <f t="shared" si="43"/>
        <v>1</v>
      </c>
      <c r="W91" s="138">
        <f t="shared" si="44"/>
        <v>0</v>
      </c>
      <c r="X91" s="172">
        <f>V91/U91</f>
        <v>1</v>
      </c>
      <c r="Y91" s="264">
        <f t="shared" si="20"/>
        <v>-0.19999999999999996</v>
      </c>
    </row>
    <row r="92" spans="2:25" ht="33">
      <c r="B92" s="25" t="s">
        <v>49</v>
      </c>
      <c r="C92" s="60"/>
      <c r="D92" s="148">
        <f>D88+D89+D90+D91</f>
        <v>43473</v>
      </c>
      <c r="E92" s="148">
        <f>E88+E89+E90+E91</f>
        <v>43473</v>
      </c>
      <c r="F92" s="148">
        <f>F88+F89+F90+F91</f>
        <v>979.429</v>
      </c>
      <c r="G92" s="149">
        <f>G88+G89+G90+G91</f>
        <v>979.4399999999999</v>
      </c>
      <c r="H92" s="150">
        <f t="shared" si="40"/>
        <v>0.010999999999967258</v>
      </c>
      <c r="I92" s="283">
        <f>G92/F92</f>
        <v>1.000011231033592</v>
      </c>
      <c r="J92" s="152">
        <f t="shared" si="45"/>
        <v>-42493.56</v>
      </c>
      <c r="K92" s="176">
        <f>G92/E92</f>
        <v>0.022529846111379474</v>
      </c>
      <c r="L92" s="152"/>
      <c r="M92" s="152"/>
      <c r="N92" s="152"/>
      <c r="O92" s="152">
        <v>26407.66</v>
      </c>
      <c r="P92" s="152">
        <f t="shared" si="41"/>
        <v>17065.34</v>
      </c>
      <c r="Q92" s="176">
        <f t="shared" si="42"/>
        <v>1.6462268902280626</v>
      </c>
      <c r="R92" s="152">
        <v>93.06</v>
      </c>
      <c r="S92" s="138">
        <f t="shared" si="38"/>
        <v>886.3799999999999</v>
      </c>
      <c r="T92" s="172">
        <f t="shared" si="39"/>
        <v>10.52482269503546</v>
      </c>
      <c r="U92" s="150">
        <f>U88+U89+U90+U91</f>
        <v>979.429</v>
      </c>
      <c r="V92" s="154">
        <f>V88+V89+V90+V91</f>
        <v>979.4399999999999</v>
      </c>
      <c r="W92" s="152">
        <f t="shared" si="44"/>
        <v>0.010999999999967258</v>
      </c>
      <c r="X92" s="176">
        <f>V92/U92</f>
        <v>1.000011231033592</v>
      </c>
      <c r="Y92" s="264">
        <f t="shared" si="20"/>
        <v>8.878595804807398</v>
      </c>
    </row>
    <row r="93" spans="2:25" ht="46.5">
      <c r="B93" s="12" t="s">
        <v>38</v>
      </c>
      <c r="C93" s="70">
        <v>24062100</v>
      </c>
      <c r="D93" s="369">
        <v>43</v>
      </c>
      <c r="E93" s="146">
        <v>43</v>
      </c>
      <c r="F93" s="146">
        <v>0</v>
      </c>
      <c r="G93" s="147">
        <v>0.01</v>
      </c>
      <c r="H93" s="133">
        <f t="shared" si="40"/>
        <v>0.01</v>
      </c>
      <c r="I93" s="280"/>
      <c r="J93" s="138">
        <f t="shared" si="45"/>
        <v>-42.99</v>
      </c>
      <c r="K93" s="172"/>
      <c r="L93" s="138"/>
      <c r="M93" s="138"/>
      <c r="N93" s="138"/>
      <c r="O93" s="138">
        <v>49.17</v>
      </c>
      <c r="P93" s="138">
        <f t="shared" si="41"/>
        <v>-6.170000000000002</v>
      </c>
      <c r="Q93" s="172">
        <f t="shared" si="42"/>
        <v>0.8745169818995322</v>
      </c>
      <c r="R93" s="138">
        <v>0</v>
      </c>
      <c r="S93" s="138">
        <f t="shared" si="38"/>
        <v>0.01</v>
      </c>
      <c r="T93" s="172" t="e">
        <f t="shared" si="39"/>
        <v>#DIV/0!</v>
      </c>
      <c r="U93" s="128">
        <f aca="true" t="shared" si="46" ref="U93:V96">F93</f>
        <v>0</v>
      </c>
      <c r="V93" s="131">
        <f t="shared" si="46"/>
        <v>0.01</v>
      </c>
      <c r="W93" s="138">
        <f t="shared" si="44"/>
        <v>0.01</v>
      </c>
      <c r="X93" s="172"/>
      <c r="Y93" s="264" t="e">
        <f t="shared" si="20"/>
        <v>#DIV/0!</v>
      </c>
    </row>
    <row r="94" spans="2:25" ht="18" hidden="1">
      <c r="B94" s="193" t="s">
        <v>50</v>
      </c>
      <c r="C94" s="68">
        <v>24061600</v>
      </c>
      <c r="D94" s="368"/>
      <c r="E94" s="146"/>
      <c r="F94" s="146">
        <f>E94</f>
        <v>0</v>
      </c>
      <c r="G94" s="147">
        <v>0</v>
      </c>
      <c r="H94" s="133">
        <f t="shared" si="40"/>
        <v>0</v>
      </c>
      <c r="I94" s="280"/>
      <c r="J94" s="138">
        <f t="shared" si="45"/>
        <v>0</v>
      </c>
      <c r="K94" s="291"/>
      <c r="L94" s="155"/>
      <c r="M94" s="155"/>
      <c r="N94" s="155"/>
      <c r="O94" s="155"/>
      <c r="P94" s="138">
        <f t="shared" si="41"/>
        <v>0</v>
      </c>
      <c r="Q94" s="172" t="e">
        <f t="shared" si="42"/>
        <v>#DIV/0!</v>
      </c>
      <c r="R94" s="138">
        <f>O94</f>
        <v>0</v>
      </c>
      <c r="S94" s="138">
        <f t="shared" si="38"/>
        <v>0</v>
      </c>
      <c r="T94" s="172" t="e">
        <f t="shared" si="39"/>
        <v>#DIV/0!</v>
      </c>
      <c r="U94" s="128">
        <f t="shared" si="46"/>
        <v>0</v>
      </c>
      <c r="V94" s="131">
        <f t="shared" si="46"/>
        <v>0</v>
      </c>
      <c r="W94" s="138">
        <f t="shared" si="44"/>
        <v>0</v>
      </c>
      <c r="X94" s="291"/>
      <c r="Y94" s="264" t="e">
        <f t="shared" si="20"/>
        <v>#DIV/0!</v>
      </c>
    </row>
    <row r="95" spans="2:25" ht="18">
      <c r="B95" s="22" t="s">
        <v>44</v>
      </c>
      <c r="C95" s="68">
        <v>19010000</v>
      </c>
      <c r="D95" s="368">
        <v>9050</v>
      </c>
      <c r="E95" s="146">
        <v>9050</v>
      </c>
      <c r="F95" s="146">
        <v>462.75</v>
      </c>
      <c r="G95" s="147">
        <v>463.24</v>
      </c>
      <c r="H95" s="133">
        <f t="shared" si="40"/>
        <v>0.4900000000000091</v>
      </c>
      <c r="I95" s="280">
        <f>G95/F95</f>
        <v>1.0010588870880606</v>
      </c>
      <c r="J95" s="138">
        <f t="shared" si="45"/>
        <v>-8586.76</v>
      </c>
      <c r="K95" s="172">
        <f>G95/E95</f>
        <v>0.05118674033149171</v>
      </c>
      <c r="L95" s="138"/>
      <c r="M95" s="138"/>
      <c r="N95" s="138"/>
      <c r="O95" s="138">
        <v>8033.94</v>
      </c>
      <c r="P95" s="138">
        <f t="shared" si="41"/>
        <v>1016.0600000000004</v>
      </c>
      <c r="Q95" s="172">
        <f t="shared" si="42"/>
        <v>1.1264709470073215</v>
      </c>
      <c r="R95" s="138">
        <v>11.48</v>
      </c>
      <c r="S95" s="138">
        <f t="shared" si="38"/>
        <v>451.76</v>
      </c>
      <c r="T95" s="172">
        <f t="shared" si="39"/>
        <v>40.35191637630662</v>
      </c>
      <c r="U95" s="128">
        <f t="shared" si="46"/>
        <v>462.75</v>
      </c>
      <c r="V95" s="131">
        <f t="shared" si="46"/>
        <v>463.24</v>
      </c>
      <c r="W95" s="138">
        <f t="shared" si="44"/>
        <v>0.4900000000000091</v>
      </c>
      <c r="X95" s="172">
        <f>V95/U95</f>
        <v>1.0010588870880606</v>
      </c>
      <c r="Y95" s="264">
        <f t="shared" si="20"/>
        <v>39.2254454292993</v>
      </c>
    </row>
    <row r="96" spans="2:25" ht="31.5" hidden="1">
      <c r="B96" s="22" t="s">
        <v>48</v>
      </c>
      <c r="C96" s="68">
        <v>19050000</v>
      </c>
      <c r="D96" s="368"/>
      <c r="E96" s="146">
        <v>0</v>
      </c>
      <c r="F96" s="146">
        <v>0</v>
      </c>
      <c r="G96" s="147">
        <v>0</v>
      </c>
      <c r="H96" s="133">
        <f t="shared" si="40"/>
        <v>0</v>
      </c>
      <c r="I96" s="280"/>
      <c r="J96" s="138">
        <f t="shared" si="45"/>
        <v>0</v>
      </c>
      <c r="K96" s="172"/>
      <c r="L96" s="138"/>
      <c r="M96" s="138"/>
      <c r="N96" s="138"/>
      <c r="O96" s="138">
        <v>0.1</v>
      </c>
      <c r="P96" s="138">
        <f t="shared" si="41"/>
        <v>-0.1</v>
      </c>
      <c r="Q96" s="172">
        <f t="shared" si="42"/>
        <v>0</v>
      </c>
      <c r="R96" s="138">
        <v>0</v>
      </c>
      <c r="S96" s="138">
        <f t="shared" si="38"/>
        <v>0</v>
      </c>
      <c r="T96" s="172" t="e">
        <f t="shared" si="39"/>
        <v>#DIV/0!</v>
      </c>
      <c r="U96" s="128">
        <f t="shared" si="46"/>
        <v>0</v>
      </c>
      <c r="V96" s="131">
        <f t="shared" si="46"/>
        <v>0</v>
      </c>
      <c r="W96" s="138">
        <f t="shared" si="44"/>
        <v>0</v>
      </c>
      <c r="X96" s="291"/>
      <c r="Y96" s="264" t="e">
        <f t="shared" si="20"/>
        <v>#DIV/0!</v>
      </c>
    </row>
    <row r="97" spans="2:25" ht="30.75">
      <c r="B97" s="25" t="s">
        <v>45</v>
      </c>
      <c r="C97" s="68"/>
      <c r="D97" s="148">
        <f>D93+D96+D94+D95</f>
        <v>9093</v>
      </c>
      <c r="E97" s="148">
        <f>E93+E96+E94+E95</f>
        <v>9093</v>
      </c>
      <c r="F97" s="148">
        <f>F93+F96+F94+F95</f>
        <v>462.75</v>
      </c>
      <c r="G97" s="149">
        <f>G93+G96+G94+G95</f>
        <v>463.25</v>
      </c>
      <c r="H97" s="150">
        <f t="shared" si="40"/>
        <v>0.5</v>
      </c>
      <c r="I97" s="283">
        <f>G97/F97</f>
        <v>1.001080497028633</v>
      </c>
      <c r="J97" s="152">
        <f t="shared" si="45"/>
        <v>-8629.75</v>
      </c>
      <c r="K97" s="176">
        <f>G97/E97</f>
        <v>0.05094578247003189</v>
      </c>
      <c r="L97" s="152"/>
      <c r="M97" s="152"/>
      <c r="N97" s="152"/>
      <c r="O97" s="152">
        <v>8083.21</v>
      </c>
      <c r="P97" s="152">
        <f t="shared" si="41"/>
        <v>1009.79</v>
      </c>
      <c r="Q97" s="176">
        <f t="shared" si="42"/>
        <v>1.1249243802895137</v>
      </c>
      <c r="R97" s="152">
        <v>11.82</v>
      </c>
      <c r="S97" s="138">
        <f t="shared" si="38"/>
        <v>451.43</v>
      </c>
      <c r="T97" s="172">
        <f t="shared" si="39"/>
        <v>39.19204737732657</v>
      </c>
      <c r="U97" s="150">
        <f>U93+U96+U94+U95</f>
        <v>462.75</v>
      </c>
      <c r="V97" s="154">
        <f>V93+V96+V94+V95</f>
        <v>463.25</v>
      </c>
      <c r="W97" s="152">
        <f t="shared" si="44"/>
        <v>0.5</v>
      </c>
      <c r="X97" s="176">
        <f>V97/U97</f>
        <v>1.001080497028633</v>
      </c>
      <c r="Y97" s="264">
        <f t="shared" si="20"/>
        <v>38.06712299703705</v>
      </c>
    </row>
    <row r="98" spans="2:25" ht="30.75">
      <c r="B98" s="12" t="s">
        <v>39</v>
      </c>
      <c r="C98" s="38">
        <v>24110900</v>
      </c>
      <c r="D98" s="341">
        <v>19.413</v>
      </c>
      <c r="E98" s="146">
        <v>19.413</v>
      </c>
      <c r="F98" s="146">
        <v>1.69558</v>
      </c>
      <c r="G98" s="147">
        <v>1.7</v>
      </c>
      <c r="H98" s="133">
        <f t="shared" si="40"/>
        <v>0.0044199999999998685</v>
      </c>
      <c r="I98" s="280">
        <f>G98/F98</f>
        <v>1.0026067776218166</v>
      </c>
      <c r="J98" s="138">
        <f t="shared" si="45"/>
        <v>-17.713</v>
      </c>
      <c r="K98" s="172">
        <f>G98/E98</f>
        <v>0.08757018492762582</v>
      </c>
      <c r="L98" s="138"/>
      <c r="M98" s="138"/>
      <c r="N98" s="138"/>
      <c r="O98" s="138">
        <v>37.96</v>
      </c>
      <c r="P98" s="138">
        <f t="shared" si="41"/>
        <v>-18.547</v>
      </c>
      <c r="Q98" s="172">
        <f t="shared" si="42"/>
        <v>0.5114067439409905</v>
      </c>
      <c r="R98" s="152">
        <v>0.34</v>
      </c>
      <c r="S98" s="138">
        <f t="shared" si="38"/>
        <v>1.3599999999999999</v>
      </c>
      <c r="T98" s="172">
        <f t="shared" si="39"/>
        <v>4.999999999999999</v>
      </c>
      <c r="U98" s="128">
        <f>F98</f>
        <v>1.69558</v>
      </c>
      <c r="V98" s="131">
        <f>G98</f>
        <v>1.7</v>
      </c>
      <c r="W98" s="138">
        <f t="shared" si="44"/>
        <v>0.0044199999999998685</v>
      </c>
      <c r="X98" s="172">
        <f>V98/U98</f>
        <v>1.0026067776218166</v>
      </c>
      <c r="Y98" s="264">
        <f t="shared" si="20"/>
        <v>4.4885932560590085</v>
      </c>
    </row>
    <row r="99" spans="2:25" ht="18" hidden="1">
      <c r="B99" s="100"/>
      <c r="C99" s="38">
        <v>21110000</v>
      </c>
      <c r="D99" s="38"/>
      <c r="E99" s="146">
        <v>0</v>
      </c>
      <c r="F99" s="146">
        <v>0</v>
      </c>
      <c r="G99" s="147"/>
      <c r="H99" s="133" t="e">
        <f>#N/A</f>
        <v>#N/A</v>
      </c>
      <c r="I99" s="280"/>
      <c r="J99" s="138" t="e">
        <f>#N/A</f>
        <v>#N/A</v>
      </c>
      <c r="K99" s="172"/>
      <c r="L99" s="138"/>
      <c r="M99" s="138"/>
      <c r="N99" s="138"/>
      <c r="O99" s="138"/>
      <c r="P99" s="138"/>
      <c r="Q99" s="172"/>
      <c r="R99" s="138">
        <v>18.76</v>
      </c>
      <c r="S99" s="152" t="e">
        <f>#N/A</f>
        <v>#N/A</v>
      </c>
      <c r="T99" s="172">
        <f t="shared" si="39"/>
        <v>0</v>
      </c>
      <c r="U99" s="135" t="e">
        <f>F99-#REF!</f>
        <v>#REF!</v>
      </c>
      <c r="V99" s="139" t="e">
        <f>G99-#REF!</f>
        <v>#REF!</v>
      </c>
      <c r="W99" s="138" t="e">
        <f>#N/A</f>
        <v>#N/A</v>
      </c>
      <c r="X99" s="172"/>
      <c r="Y99" s="264">
        <f t="shared" si="20"/>
        <v>0</v>
      </c>
    </row>
    <row r="100" spans="2:25" ht="23.25" customHeight="1">
      <c r="B100" s="231" t="s">
        <v>30</v>
      </c>
      <c r="C100" s="232"/>
      <c r="D100" s="233">
        <f>D86+D87+D92+D97+D98</f>
        <v>52585.413</v>
      </c>
      <c r="E100" s="233">
        <f>E86+E87+E92+E97+E98</f>
        <v>52585.413</v>
      </c>
      <c r="F100" s="233">
        <f>F86+F87+F92+F97+F98</f>
        <v>1443.8745800000002</v>
      </c>
      <c r="G100" s="233">
        <f>G86+G87+G92+G97+G98</f>
        <v>1444.3999999999999</v>
      </c>
      <c r="H100" s="234">
        <f>G100-F100</f>
        <v>0.5254199999997127</v>
      </c>
      <c r="I100" s="284">
        <f>G100/F100</f>
        <v>1.0003638958724514</v>
      </c>
      <c r="J100" s="227">
        <f>G100-E100</f>
        <v>-51141.013</v>
      </c>
      <c r="K100" s="228">
        <f>G100/E100</f>
        <v>0.02746769336964226</v>
      </c>
      <c r="L100" s="227"/>
      <c r="M100" s="227"/>
      <c r="N100" s="227"/>
      <c r="O100" s="227">
        <v>34561.77</v>
      </c>
      <c r="P100" s="227">
        <f>E100-O100</f>
        <v>18023.643000000004</v>
      </c>
      <c r="Q100" s="228">
        <f>E100/O100</f>
        <v>1.5214907396235784</v>
      </c>
      <c r="R100" s="233">
        <v>117.03</v>
      </c>
      <c r="S100" s="227">
        <f>G100-R100</f>
        <v>1327.37</v>
      </c>
      <c r="T100" s="228">
        <f t="shared" si="39"/>
        <v>12.342134495428521</v>
      </c>
      <c r="U100" s="233">
        <f>U86+U87+U92+U97+U98</f>
        <v>1443.8745800000002</v>
      </c>
      <c r="V100" s="233">
        <f>V86+V87+V92+V97+V98</f>
        <v>1444.3999999999999</v>
      </c>
      <c r="W100" s="227">
        <f>V100-U100</f>
        <v>0.5254199999997127</v>
      </c>
      <c r="X100" s="228">
        <f>V100/U100</f>
        <v>1.0003638958724514</v>
      </c>
      <c r="Y100" s="264">
        <f>T100-Q100</f>
        <v>10.820643755804943</v>
      </c>
    </row>
    <row r="101" spans="2:25" ht="17.25">
      <c r="B101" s="235" t="s">
        <v>122</v>
      </c>
      <c r="C101" s="232"/>
      <c r="D101" s="233">
        <f>D79+D100</f>
        <v>1680503.113</v>
      </c>
      <c r="E101" s="233">
        <f>E79+E100</f>
        <v>1680503.113</v>
      </c>
      <c r="F101" s="233">
        <f>F79+F100</f>
        <v>116722.42358</v>
      </c>
      <c r="G101" s="233">
        <f>G79+G100</f>
        <v>116722.93999999999</v>
      </c>
      <c r="H101" s="234">
        <f>G101-F101</f>
        <v>0.5164199999853736</v>
      </c>
      <c r="I101" s="284">
        <f>G101/F101</f>
        <v>1.000004424342677</v>
      </c>
      <c r="J101" s="227">
        <f>G101-E101</f>
        <v>-1563780.173</v>
      </c>
      <c r="K101" s="228">
        <f>G101/E101</f>
        <v>0.06945714000590489</v>
      </c>
      <c r="L101" s="227"/>
      <c r="M101" s="227"/>
      <c r="N101" s="227"/>
      <c r="O101" s="227">
        <f>O79+O100</f>
        <v>1433558.23</v>
      </c>
      <c r="P101" s="227">
        <f>E101-O101</f>
        <v>246944.8829999999</v>
      </c>
      <c r="Q101" s="228">
        <f>E101/O101</f>
        <v>1.1722600992636343</v>
      </c>
      <c r="R101" s="227">
        <f>R79+R100</f>
        <v>98203.20999999999</v>
      </c>
      <c r="S101" s="227">
        <f>S79+S100</f>
        <v>18519.73</v>
      </c>
      <c r="T101" s="228">
        <f t="shared" si="39"/>
        <v>1.1885857906274142</v>
      </c>
      <c r="U101" s="234">
        <f>U79+U100</f>
        <v>116722.42358</v>
      </c>
      <c r="V101" s="234">
        <f>V79+V100</f>
        <v>116722.93999999999</v>
      </c>
      <c r="W101" s="227">
        <f>V101-U101</f>
        <v>0.5164199999853736</v>
      </c>
      <c r="X101" s="228">
        <f>V101/U101</f>
        <v>1.000004424342677</v>
      </c>
      <c r="Y101" s="264">
        <f>T101-Q101</f>
        <v>0.016325691363779926</v>
      </c>
    </row>
    <row r="102" spans="2:25" ht="15">
      <c r="B102" s="19" t="s">
        <v>32</v>
      </c>
      <c r="V102" s="24"/>
      <c r="Y102" s="264"/>
    </row>
    <row r="103" spans="2:25" ht="15">
      <c r="B103" s="4" t="s">
        <v>34</v>
      </c>
      <c r="C103" s="71">
        <v>0</v>
      </c>
      <c r="D103" s="71"/>
      <c r="E103" s="4" t="s">
        <v>33</v>
      </c>
      <c r="V103" s="73"/>
      <c r="Y103" s="264"/>
    </row>
    <row r="104" spans="2:25" ht="30.75">
      <c r="B104" s="47" t="s">
        <v>51</v>
      </c>
      <c r="C104" s="26" t="e">
        <f>IF(W79&lt;0,ABS(W79/C103),0)</f>
        <v>#DIV/0!</v>
      </c>
      <c r="D104" s="26"/>
      <c r="E104" s="4" t="s">
        <v>24</v>
      </c>
      <c r="H104" s="390"/>
      <c r="I104" s="390"/>
      <c r="J104" s="390"/>
      <c r="K104" s="390"/>
      <c r="L104" s="79"/>
      <c r="M104" s="79"/>
      <c r="N104" s="79"/>
      <c r="O104" s="79"/>
      <c r="P104" s="79"/>
      <c r="Q104" s="244"/>
      <c r="R104" s="79"/>
      <c r="S104" s="79"/>
      <c r="T104" s="79"/>
      <c r="X104" s="24"/>
      <c r="Y104" s="264"/>
    </row>
    <row r="105" spans="2:25" ht="34.5" customHeight="1">
      <c r="B105" s="48" t="s">
        <v>53</v>
      </c>
      <c r="C105" s="76">
        <v>43131</v>
      </c>
      <c r="D105" s="76"/>
      <c r="E105" s="26">
        <v>11595.9</v>
      </c>
      <c r="H105" s="4" t="s">
        <v>56</v>
      </c>
      <c r="V105" s="378"/>
      <c r="W105" s="378"/>
      <c r="Y105" s="264"/>
    </row>
    <row r="106" spans="3:25" ht="15">
      <c r="C106" s="76">
        <v>43130</v>
      </c>
      <c r="D106" s="76"/>
      <c r="E106" s="26">
        <v>10674.1</v>
      </c>
      <c r="H106" s="374"/>
      <c r="I106" s="374"/>
      <c r="J106" s="96"/>
      <c r="K106" s="224"/>
      <c r="L106" s="224"/>
      <c r="M106" s="224"/>
      <c r="N106" s="224"/>
      <c r="O106" s="224"/>
      <c r="P106" s="224"/>
      <c r="Q106" s="245"/>
      <c r="R106" s="224"/>
      <c r="S106" s="224"/>
      <c r="T106" s="224"/>
      <c r="U106" s="224"/>
      <c r="V106" s="378"/>
      <c r="W106" s="378"/>
      <c r="Y106" s="264"/>
    </row>
    <row r="107" spans="3:25" ht="15.75" customHeight="1">
      <c r="C107" s="76">
        <v>43129</v>
      </c>
      <c r="D107" s="76"/>
      <c r="E107" s="26">
        <v>8695.2</v>
      </c>
      <c r="H107" s="374"/>
      <c r="I107" s="374"/>
      <c r="J107" s="96"/>
      <c r="K107" s="225"/>
      <c r="L107" s="225"/>
      <c r="M107" s="225"/>
      <c r="N107" s="225"/>
      <c r="O107" s="225"/>
      <c r="P107" s="225"/>
      <c r="Q107" s="246"/>
      <c r="R107" s="225"/>
      <c r="S107" s="225"/>
      <c r="T107" s="225"/>
      <c r="U107" s="225"/>
      <c r="V107" s="378"/>
      <c r="W107" s="378"/>
      <c r="Y107" s="264"/>
    </row>
    <row r="108" spans="3:25" ht="15.75" customHeight="1">
      <c r="C108" s="76"/>
      <c r="D108" s="76"/>
      <c r="G108" s="63"/>
      <c r="H108" s="379"/>
      <c r="I108" s="379"/>
      <c r="J108" s="102"/>
      <c r="K108" s="224"/>
      <c r="L108" s="224"/>
      <c r="M108" s="224"/>
      <c r="N108" s="224"/>
      <c r="O108" s="224"/>
      <c r="P108" s="224"/>
      <c r="Q108" s="245"/>
      <c r="R108" s="224"/>
      <c r="S108" s="224"/>
      <c r="T108" s="224"/>
      <c r="U108" s="224"/>
      <c r="Y108" s="264"/>
    </row>
    <row r="109" spans="2:25" ht="18" customHeight="1">
      <c r="B109" s="372" t="s">
        <v>54</v>
      </c>
      <c r="C109" s="373"/>
      <c r="D109" s="337"/>
      <c r="E109" s="110">
        <f>14560.55/1000</f>
        <v>14.56055</v>
      </c>
      <c r="F109" s="64"/>
      <c r="G109" s="103" t="s">
        <v>99</v>
      </c>
      <c r="H109" s="374"/>
      <c r="I109" s="374"/>
      <c r="J109" s="104"/>
      <c r="K109" s="224"/>
      <c r="L109" s="224"/>
      <c r="M109" s="224"/>
      <c r="N109" s="224"/>
      <c r="O109" s="224"/>
      <c r="P109" s="224"/>
      <c r="Q109" s="245"/>
      <c r="R109" s="224"/>
      <c r="S109" s="224"/>
      <c r="T109" s="224"/>
      <c r="U109" s="224"/>
      <c r="Y109" s="264"/>
    </row>
    <row r="110" spans="7:25" ht="9.75" customHeight="1">
      <c r="G110" s="63"/>
      <c r="H110" s="374"/>
      <c r="I110" s="374"/>
      <c r="J110" s="63"/>
      <c r="K110" s="64"/>
      <c r="L110" s="64"/>
      <c r="M110" s="64"/>
      <c r="N110" s="64"/>
      <c r="O110" s="64"/>
      <c r="P110" s="64"/>
      <c r="Q110" s="247"/>
      <c r="R110" s="64"/>
      <c r="S110" s="64"/>
      <c r="T110" s="64"/>
      <c r="Y110" s="264"/>
    </row>
    <row r="111" spans="2:25" ht="22.5" customHeight="1" hidden="1">
      <c r="B111" s="375" t="s">
        <v>57</v>
      </c>
      <c r="C111" s="376"/>
      <c r="D111" s="338"/>
      <c r="E111" s="75">
        <v>0</v>
      </c>
      <c r="F111" s="46" t="s">
        <v>24</v>
      </c>
      <c r="G111" s="63"/>
      <c r="H111" s="374"/>
      <c r="I111" s="374"/>
      <c r="J111" s="63"/>
      <c r="K111" s="64"/>
      <c r="L111" s="64"/>
      <c r="M111" s="64"/>
      <c r="N111" s="64"/>
      <c r="O111" s="64"/>
      <c r="P111" s="64"/>
      <c r="Q111" s="247"/>
      <c r="R111" s="303"/>
      <c r="S111" s="303"/>
      <c r="T111" s="303"/>
      <c r="U111" s="3"/>
      <c r="V111" s="3"/>
      <c r="W111" s="3"/>
      <c r="X111" s="3"/>
      <c r="Y111" s="264"/>
    </row>
    <row r="112" spans="2:25" ht="15" hidden="1">
      <c r="B112" s="220" t="s">
        <v>125</v>
      </c>
      <c r="E112" s="63">
        <f>E60+E63+E64</f>
        <v>2095</v>
      </c>
      <c r="F112" s="63">
        <f>F60+F63+F64</f>
        <v>147.19</v>
      </c>
      <c r="G112" s="166">
        <f>G60+G63+G64</f>
        <v>149.62</v>
      </c>
      <c r="H112" s="63">
        <f>H60+H63+H64</f>
        <v>2.4299999999999975</v>
      </c>
      <c r="I112" s="64"/>
      <c r="J112" s="64"/>
      <c r="R112" s="3"/>
      <c r="S112" s="3"/>
      <c r="T112" s="3"/>
      <c r="U112" s="94"/>
      <c r="V112" s="94"/>
      <c r="W112" s="94"/>
      <c r="X112" s="3"/>
      <c r="Y112" s="264"/>
    </row>
    <row r="113" spans="5:25" ht="15" hidden="1">
      <c r="E113" s="73"/>
      <c r="J113" s="26"/>
      <c r="R113" s="3"/>
      <c r="S113" s="3"/>
      <c r="T113" s="3"/>
      <c r="U113" s="3"/>
      <c r="V113" s="377"/>
      <c r="W113" s="377"/>
      <c r="X113" s="3"/>
      <c r="Y113" s="264"/>
    </row>
    <row r="114" spans="2:25" ht="15" hidden="1">
      <c r="B114" s="4" t="s">
        <v>109</v>
      </c>
      <c r="E114" s="26">
        <f>E9+E15+E18+E19+E23+E54+E57+E77+E71</f>
        <v>1583334.8</v>
      </c>
      <c r="F114" s="26">
        <f>F9+F15+F18+F19+F23+F54+F57+F77+F71</f>
        <v>112033.899</v>
      </c>
      <c r="G114" s="189">
        <f>G9+G15+G18+G19+G23+G54+G57+G77+G71</f>
        <v>112033.91</v>
      </c>
      <c r="H114" s="26">
        <f>G114-F114</f>
        <v>0.010999999998603016</v>
      </c>
      <c r="I114" s="190">
        <f>G114/F114</f>
        <v>1.0000000981845683</v>
      </c>
      <c r="J114" s="26">
        <f>G114-E114</f>
        <v>-1471300.8900000001</v>
      </c>
      <c r="K114" s="190">
        <f>G114/E114</f>
        <v>0.07075819340293664</v>
      </c>
      <c r="L114" s="190"/>
      <c r="M114" s="190"/>
      <c r="N114" s="190"/>
      <c r="O114" s="190"/>
      <c r="P114" s="190"/>
      <c r="R114" s="3"/>
      <c r="S114" s="3"/>
      <c r="T114" s="3"/>
      <c r="U114" s="94"/>
      <c r="V114" s="94"/>
      <c r="W114" s="94"/>
      <c r="X114" s="334"/>
      <c r="Y114" s="264"/>
    </row>
    <row r="115" spans="2:25" ht="15" hidden="1">
      <c r="B115" s="4" t="s">
        <v>110</v>
      </c>
      <c r="E115" s="26">
        <f>E55+E56+E58+E60+E62+E63+E64+E65+E66+E72+E76+E59+E78</f>
        <v>44582.9</v>
      </c>
      <c r="F115" s="26">
        <f>F55+F56+F58+F60+F62+F63+F64+F65+F66+F72+F76+F59+F78</f>
        <v>3244.6499999999996</v>
      </c>
      <c r="G115" s="189">
        <f>G55+G56+G58+G60+G62+G63+G64+G65+G66+G72+G76+G59+G78</f>
        <v>3244.629999999999</v>
      </c>
      <c r="H115" s="26">
        <f>H55+H56+H58+H60+H62+H63+H64+H65+H66+H72+H76+H59</f>
        <v>-0.020000000000092832</v>
      </c>
      <c r="I115" s="190">
        <f>G115/F115</f>
        <v>0.9999938360069652</v>
      </c>
      <c r="J115" s="26">
        <f>J55+J56+J58+J60+J62+J63+J64+J65+J66+J72+J76+J59</f>
        <v>-41338.270000000004</v>
      </c>
      <c r="K115" s="190">
        <f>G115/E115</f>
        <v>0.07277745503320777</v>
      </c>
      <c r="L115" s="190"/>
      <c r="M115" s="190"/>
      <c r="N115" s="190"/>
      <c r="O115" s="190"/>
      <c r="P115" s="190"/>
      <c r="R115" s="94"/>
      <c r="S115" s="94"/>
      <c r="T115" s="94"/>
      <c r="U115" s="94"/>
      <c r="V115" s="94"/>
      <c r="W115" s="94"/>
      <c r="X115" s="334"/>
      <c r="Y115" s="264"/>
    </row>
    <row r="116" spans="2:25" ht="15" hidden="1">
      <c r="B116" s="4" t="s">
        <v>111</v>
      </c>
      <c r="E116" s="26">
        <f>SUM(E114:E115)</f>
        <v>1627917.7</v>
      </c>
      <c r="F116" s="26">
        <f>SUM(F114:F115)</f>
        <v>115278.549</v>
      </c>
      <c r="G116" s="26">
        <f>SUM(G114:G115)</f>
        <v>115278.54000000001</v>
      </c>
      <c r="H116" s="26">
        <f>SUM(H114:H115)</f>
        <v>-0.009000000001489816</v>
      </c>
      <c r="I116" s="190">
        <f>G116/F116</f>
        <v>0.9999999219282333</v>
      </c>
      <c r="J116" s="26">
        <f>SUM(J114:J115)</f>
        <v>-1512639.1600000001</v>
      </c>
      <c r="K116" s="190">
        <f>G116/E116</f>
        <v>0.07081349382711424</v>
      </c>
      <c r="L116" s="190"/>
      <c r="M116" s="190"/>
      <c r="N116" s="190"/>
      <c r="O116" s="190"/>
      <c r="P116" s="190"/>
      <c r="R116" s="94"/>
      <c r="S116" s="94"/>
      <c r="T116" s="94"/>
      <c r="U116" s="94"/>
      <c r="V116" s="94"/>
      <c r="W116" s="94"/>
      <c r="X116" s="334"/>
      <c r="Y116" s="264"/>
    </row>
    <row r="117" spans="5:25" ht="15" hidden="1">
      <c r="E117" s="26">
        <f>E79-E116</f>
        <v>0</v>
      </c>
      <c r="F117" s="26" t="e">
        <f>#N/A</f>
        <v>#N/A</v>
      </c>
      <c r="G117" s="26" t="e">
        <f>#N/A</f>
        <v>#N/A</v>
      </c>
      <c r="H117" s="26" t="e">
        <f>#N/A</f>
        <v>#N/A</v>
      </c>
      <c r="I117" s="190"/>
      <c r="J117" s="26" t="e">
        <f>#N/A</f>
        <v>#N/A</v>
      </c>
      <c r="K117" s="190"/>
      <c r="L117" s="190"/>
      <c r="M117" s="190"/>
      <c r="N117" s="190"/>
      <c r="O117" s="190"/>
      <c r="P117" s="190"/>
      <c r="R117" s="94"/>
      <c r="S117" s="94"/>
      <c r="T117" s="94"/>
      <c r="U117" s="94"/>
      <c r="V117" s="94"/>
      <c r="W117" s="94"/>
      <c r="X117" s="94"/>
      <c r="Y117" s="264"/>
    </row>
    <row r="118" spans="6:25" ht="15" hidden="1">
      <c r="F118" s="4" t="s">
        <v>56</v>
      </c>
      <c r="R118" s="3"/>
      <c r="S118" s="3"/>
      <c r="T118" s="3"/>
      <c r="U118" s="3"/>
      <c r="V118" s="3"/>
      <c r="W118" s="3"/>
      <c r="X118" s="3"/>
      <c r="Y118" s="264"/>
    </row>
    <row r="119" spans="2:25" ht="15" hidden="1">
      <c r="B119" s="202" t="s">
        <v>116</v>
      </c>
      <c r="F119" s="26">
        <f>F79-F9-F20-F35-F47</f>
        <v>8059.989999999994</v>
      </c>
      <c r="Y119" s="264"/>
    </row>
    <row r="120" spans="2:25" ht="15" hidden="1">
      <c r="B120" s="202" t="s">
        <v>117</v>
      </c>
      <c r="F120" s="26">
        <f>F100-F95-F88-F89</f>
        <v>159.69558000000018</v>
      </c>
      <c r="Y120" s="264"/>
    </row>
    <row r="121" ht="15" hidden="1">
      <c r="Y121" s="264"/>
    </row>
    <row r="122" spans="2:25" ht="18" hidden="1">
      <c r="B122" s="100" t="s">
        <v>112</v>
      </c>
      <c r="C122" s="38">
        <v>25000000</v>
      </c>
      <c r="D122" s="38"/>
      <c r="E122" s="146">
        <v>72408.22</v>
      </c>
      <c r="F122" s="146">
        <v>18102.06</v>
      </c>
      <c r="G122" s="147">
        <v>20254.32</v>
      </c>
      <c r="H122" s="133">
        <f>G122-F122</f>
        <v>2152.2599999999984</v>
      </c>
      <c r="I122" s="135">
        <f>G122/F122*100</f>
        <v>111.88958604711286</v>
      </c>
      <c r="J122" s="138">
        <f>G122-E122</f>
        <v>-52153.9</v>
      </c>
      <c r="K122" s="138">
        <f>G122/E122*100</f>
        <v>27.972404238082362</v>
      </c>
      <c r="L122" s="138"/>
      <c r="M122" s="138"/>
      <c r="N122" s="138"/>
      <c r="O122" s="138"/>
      <c r="P122" s="138"/>
      <c r="Q122" s="172"/>
      <c r="R122" s="138"/>
      <c r="S122" s="138"/>
      <c r="T122" s="209"/>
      <c r="U122" s="207"/>
      <c r="V122" s="207"/>
      <c r="W122" s="208"/>
      <c r="X122" s="208"/>
      <c r="Y122" s="264"/>
    </row>
    <row r="123" spans="2:25" ht="23.25" customHeight="1" hidden="1">
      <c r="B123" s="13" t="s">
        <v>30</v>
      </c>
      <c r="C123" s="61"/>
      <c r="D123" s="61"/>
      <c r="E123" s="156">
        <f>E100+E122</f>
        <v>124993.633</v>
      </c>
      <c r="F123" s="156">
        <f>F100+F122</f>
        <v>19545.93458</v>
      </c>
      <c r="G123" s="156">
        <f>G100+G122</f>
        <v>21698.72</v>
      </c>
      <c r="H123" s="157">
        <f>G123-F123</f>
        <v>2152.78542</v>
      </c>
      <c r="I123" s="158">
        <f>G123/F123*100</f>
        <v>111.01398048371038</v>
      </c>
      <c r="J123" s="159">
        <f>G123-E123</f>
        <v>-103294.913</v>
      </c>
      <c r="K123" s="159">
        <f>G123/E123*100</f>
        <v>17.35986024184128</v>
      </c>
      <c r="L123" s="159"/>
      <c r="M123" s="159"/>
      <c r="N123" s="159"/>
      <c r="O123" s="159"/>
      <c r="P123" s="159"/>
      <c r="Q123" s="182"/>
      <c r="R123" s="159">
        <v>3039.87</v>
      </c>
      <c r="S123" s="159">
        <f>G123-R123</f>
        <v>18658.850000000002</v>
      </c>
      <c r="T123" s="210">
        <f>G123/R123</f>
        <v>7.138042087326103</v>
      </c>
      <c r="U123" s="211"/>
      <c r="V123" s="211"/>
      <c r="W123" s="212"/>
      <c r="X123" s="212"/>
      <c r="Y123" s="264"/>
    </row>
    <row r="124" spans="2:25" ht="17.25" hidden="1">
      <c r="B124" s="20" t="s">
        <v>121</v>
      </c>
      <c r="C124" s="61"/>
      <c r="D124" s="61"/>
      <c r="E124" s="156">
        <f>E123+E79</f>
        <v>1752911.3329999999</v>
      </c>
      <c r="F124" s="156">
        <f>F123+F79</f>
        <v>134824.48358</v>
      </c>
      <c r="G124" s="156">
        <f>G123+G79</f>
        <v>136977.26</v>
      </c>
      <c r="H124" s="157">
        <f>G124-F124</f>
        <v>2152.7764200000092</v>
      </c>
      <c r="I124" s="158">
        <f>G124/F124*100</f>
        <v>101.59672513688704</v>
      </c>
      <c r="J124" s="159">
        <f>G124-E124</f>
        <v>-1615934.0729999999</v>
      </c>
      <c r="K124" s="159">
        <f>G124/E124*100</f>
        <v>7.8142720296965535</v>
      </c>
      <c r="L124" s="159"/>
      <c r="M124" s="159"/>
      <c r="N124" s="159"/>
      <c r="O124" s="159"/>
      <c r="P124" s="159"/>
      <c r="Q124" s="182"/>
      <c r="R124" s="159">
        <f>R101+R123</f>
        <v>101243.07999999999</v>
      </c>
      <c r="S124" s="159">
        <f>G124-R124</f>
        <v>35734.18000000002</v>
      </c>
      <c r="T124" s="210">
        <f>G124/R124</f>
        <v>1.3529542957405092</v>
      </c>
      <c r="U124" s="213"/>
      <c r="V124" s="213"/>
      <c r="W124" s="212"/>
      <c r="X124" s="212"/>
      <c r="Y124" s="264"/>
    </row>
    <row r="125" spans="2:25" ht="15" hidden="1">
      <c r="B125" s="198" t="s">
        <v>123</v>
      </c>
      <c r="C125" s="196">
        <v>40000000</v>
      </c>
      <c r="D125" s="196"/>
      <c r="E125" s="201" t="e">
        <f>#N/A</f>
        <v>#N/A</v>
      </c>
      <c r="F125" s="201" t="e">
        <f>#N/A</f>
        <v>#N/A</v>
      </c>
      <c r="G125" s="201" t="e">
        <f>#N/A</f>
        <v>#N/A</v>
      </c>
      <c r="H125" s="201" t="e">
        <f>#N/A</f>
        <v>#N/A</v>
      </c>
      <c r="I125" s="201" t="e">
        <f>G125/F125*100</f>
        <v>#N/A</v>
      </c>
      <c r="J125" s="33" t="e">
        <f>#N/A</f>
        <v>#N/A</v>
      </c>
      <c r="K125" s="33" t="e">
        <f>G125/E125*100</f>
        <v>#N/A</v>
      </c>
      <c r="L125" s="237"/>
      <c r="M125" s="237"/>
      <c r="N125" s="237"/>
      <c r="O125" s="237"/>
      <c r="P125" s="237"/>
      <c r="Q125" s="248"/>
      <c r="X125" s="81"/>
      <c r="Y125" s="264"/>
    </row>
    <row r="126" spans="2:25" ht="26.25" hidden="1">
      <c r="B126" s="197" t="s">
        <v>114</v>
      </c>
      <c r="C126" s="196">
        <v>41033900</v>
      </c>
      <c r="D126" s="196"/>
      <c r="E126" s="201">
        <v>243334.5</v>
      </c>
      <c r="F126" s="201">
        <v>56191.6</v>
      </c>
      <c r="G126" s="201">
        <v>56191.6</v>
      </c>
      <c r="H126" s="201" t="e">
        <f>#N/A</f>
        <v>#N/A</v>
      </c>
      <c r="I126" s="201" t="e">
        <f>#N/A</f>
        <v>#N/A</v>
      </c>
      <c r="J126" s="33" t="e">
        <f>#N/A</f>
        <v>#N/A</v>
      </c>
      <c r="K126" s="33" t="e">
        <f>#N/A</f>
        <v>#N/A</v>
      </c>
      <c r="L126" s="237"/>
      <c r="M126" s="237"/>
      <c r="N126" s="237"/>
      <c r="O126" s="237"/>
      <c r="P126" s="237"/>
      <c r="Q126" s="248"/>
      <c r="X126" s="81"/>
      <c r="Y126" s="264"/>
    </row>
    <row r="127" spans="2:25" ht="26.25" hidden="1">
      <c r="B127" s="197" t="s">
        <v>115</v>
      </c>
      <c r="C127" s="196">
        <v>41034200</v>
      </c>
      <c r="D127" s="196"/>
      <c r="E127" s="201">
        <v>238249.5</v>
      </c>
      <c r="F127" s="201">
        <v>59541.9</v>
      </c>
      <c r="G127" s="201">
        <v>59541.9</v>
      </c>
      <c r="H127" s="201" t="e">
        <f>#N/A</f>
        <v>#N/A</v>
      </c>
      <c r="I127" s="201" t="e">
        <f>#N/A</f>
        <v>#N/A</v>
      </c>
      <c r="J127" s="33" t="e">
        <f>#N/A</f>
        <v>#N/A</v>
      </c>
      <c r="K127" s="33" t="e">
        <f>#N/A</f>
        <v>#N/A</v>
      </c>
      <c r="L127" s="237"/>
      <c r="M127" s="237"/>
      <c r="N127" s="237"/>
      <c r="O127" s="237"/>
      <c r="P127" s="237"/>
      <c r="Q127" s="248"/>
      <c r="X127" s="81"/>
      <c r="Y127" s="264"/>
    </row>
    <row r="128" spans="2:25" s="199" customFormat="1" ht="25.5" customHeight="1" hidden="1">
      <c r="B128" s="214" t="s">
        <v>113</v>
      </c>
      <c r="C128" s="215"/>
      <c r="D128" s="215"/>
      <c r="E128" s="216" t="e">
        <f>E124+E125</f>
        <v>#N/A</v>
      </c>
      <c r="F128" s="216" t="e">
        <f>F124+F125</f>
        <v>#N/A</v>
      </c>
      <c r="G128" s="216" t="e">
        <f>G124+G125</f>
        <v>#N/A</v>
      </c>
      <c r="H128" s="217" t="e">
        <f>#N/A</f>
        <v>#N/A</v>
      </c>
      <c r="I128" s="216" t="e">
        <f>#N/A</f>
        <v>#N/A</v>
      </c>
      <c r="J128" s="218" t="e">
        <f>#N/A</f>
        <v>#N/A</v>
      </c>
      <c r="K128" s="218" t="e">
        <f>#N/A</f>
        <v>#N/A</v>
      </c>
      <c r="L128" s="238"/>
      <c r="M128" s="238"/>
      <c r="N128" s="238"/>
      <c r="O128" s="238"/>
      <c r="P128" s="238"/>
      <c r="Q128" s="249"/>
      <c r="X128" s="200"/>
      <c r="Y128" s="264"/>
    </row>
    <row r="129" ht="15" hidden="1">
      <c r="Y129" s="264"/>
    </row>
    <row r="130" ht="15" hidden="1">
      <c r="Y130" s="264"/>
    </row>
    <row r="131" ht="15" hidden="1">
      <c r="Y131" s="264"/>
    </row>
    <row r="132" ht="15" hidden="1">
      <c r="Y132" s="264"/>
    </row>
    <row r="133" ht="15" hidden="1">
      <c r="Y133" s="264"/>
    </row>
    <row r="134" ht="15" hidden="1">
      <c r="Y134" s="264"/>
    </row>
    <row r="135" spans="2:25" ht="15" hidden="1">
      <c r="B135" s="261" t="s">
        <v>145</v>
      </c>
      <c r="Y135" s="264"/>
    </row>
    <row r="136" spans="1:25" s="6" customFormat="1" ht="30.75" customHeight="1" hidden="1">
      <c r="A136" s="8"/>
      <c r="B136" s="252" t="str">
        <f>B17</f>
        <v>Рентна плата за спеціальне використання лісових ресурсів</v>
      </c>
      <c r="C136" s="296">
        <f>C17</f>
        <v>13010200</v>
      </c>
      <c r="D136" s="296"/>
      <c r="E136" s="312">
        <f aca="true" t="shared" si="47" ref="E136:T137">E17</f>
        <v>0</v>
      </c>
      <c r="F136" s="312">
        <f t="shared" si="47"/>
        <v>0</v>
      </c>
      <c r="G136" s="314">
        <f t="shared" si="47"/>
        <v>0</v>
      </c>
      <c r="H136" s="312">
        <f t="shared" si="47"/>
        <v>0</v>
      </c>
      <c r="I136" s="323">
        <f t="shared" si="47"/>
        <v>0</v>
      </c>
      <c r="J136" s="322">
        <f t="shared" si="47"/>
        <v>0</v>
      </c>
      <c r="K136" s="323">
        <f t="shared" si="47"/>
        <v>0</v>
      </c>
      <c r="L136" s="185">
        <f t="shared" si="47"/>
        <v>0</v>
      </c>
      <c r="M136" s="185">
        <f t="shared" si="47"/>
        <v>0</v>
      </c>
      <c r="N136" s="185">
        <f t="shared" si="47"/>
        <v>0</v>
      </c>
      <c r="O136" s="322">
        <f t="shared" si="47"/>
        <v>0.49</v>
      </c>
      <c r="P136" s="322">
        <f t="shared" si="47"/>
        <v>-0.49</v>
      </c>
      <c r="Q136" s="323">
        <f t="shared" si="47"/>
        <v>0</v>
      </c>
      <c r="R136" s="322">
        <f t="shared" si="47"/>
        <v>0</v>
      </c>
      <c r="S136" s="321">
        <f t="shared" si="47"/>
        <v>0</v>
      </c>
      <c r="T136" s="323" t="e">
        <f t="shared" si="47"/>
        <v>#DIV/0!</v>
      </c>
      <c r="U136" s="299"/>
      <c r="V136" s="299"/>
      <c r="W136" s="299"/>
      <c r="X136" s="299"/>
      <c r="Y136" s="264" t="e">
        <f aca="true" t="shared" si="48" ref="Y136:Y145">T136-Q136</f>
        <v>#DIV/0!</v>
      </c>
    </row>
    <row r="137" spans="1:25" s="6" customFormat="1" ht="30.75" hidden="1">
      <c r="A137" s="8"/>
      <c r="B137" s="253" t="str">
        <f>B18</f>
        <v>Рентна плата за користування надрами для видобування корисних копалин місцевого значення</v>
      </c>
      <c r="C137" s="296">
        <f>C18</f>
        <v>13030200</v>
      </c>
      <c r="D137" s="296"/>
      <c r="E137" s="312">
        <f t="shared" si="47"/>
        <v>235.6</v>
      </c>
      <c r="F137" s="312">
        <f t="shared" si="47"/>
        <v>0</v>
      </c>
      <c r="G137" s="314">
        <f t="shared" si="47"/>
        <v>0</v>
      </c>
      <c r="H137" s="312">
        <f t="shared" si="47"/>
        <v>0</v>
      </c>
      <c r="I137" s="323" t="e">
        <f t="shared" si="47"/>
        <v>#DIV/0!</v>
      </c>
      <c r="J137" s="312">
        <f t="shared" si="47"/>
        <v>-235.6</v>
      </c>
      <c r="K137" s="323">
        <f t="shared" si="47"/>
        <v>0</v>
      </c>
      <c r="L137" s="108">
        <f t="shared" si="47"/>
        <v>0</v>
      </c>
      <c r="M137" s="108">
        <f t="shared" si="47"/>
        <v>0</v>
      </c>
      <c r="N137" s="108">
        <f t="shared" si="47"/>
        <v>0</v>
      </c>
      <c r="O137" s="322">
        <f t="shared" si="47"/>
        <v>220.59</v>
      </c>
      <c r="P137" s="322">
        <f t="shared" si="47"/>
        <v>15.009999999999991</v>
      </c>
      <c r="Q137" s="323">
        <f t="shared" si="47"/>
        <v>1.0680447889750215</v>
      </c>
      <c r="R137" s="322">
        <f t="shared" si="47"/>
        <v>0</v>
      </c>
      <c r="S137" s="321">
        <f t="shared" si="47"/>
        <v>0</v>
      </c>
      <c r="T137" s="323" t="e">
        <f t="shared" si="47"/>
        <v>#DIV/0!</v>
      </c>
      <c r="U137" s="300"/>
      <c r="V137" s="300"/>
      <c r="W137" s="300"/>
      <c r="X137" s="300"/>
      <c r="Y137" s="264" t="e">
        <f t="shared" si="48"/>
        <v>#DIV/0!</v>
      </c>
    </row>
    <row r="138" spans="1:25" s="6" customFormat="1" ht="15" hidden="1">
      <c r="A138" s="8"/>
      <c r="B138" s="254" t="str">
        <f aca="true" t="shared" si="49" ref="B138:T141">B56</f>
        <v>Інші надходження (по актам ДФІУ)</v>
      </c>
      <c r="C138" s="297">
        <f t="shared" si="49"/>
        <v>21080500</v>
      </c>
      <c r="D138" s="297"/>
      <c r="E138" s="315">
        <f t="shared" si="49"/>
        <v>158</v>
      </c>
      <c r="F138" s="315">
        <f t="shared" si="49"/>
        <v>0</v>
      </c>
      <c r="G138" s="316">
        <f t="shared" si="49"/>
        <v>0</v>
      </c>
      <c r="H138" s="315">
        <f t="shared" si="49"/>
        <v>0</v>
      </c>
      <c r="I138" s="324" t="e">
        <f t="shared" si="49"/>
        <v>#DIV/0!</v>
      </c>
      <c r="J138" s="321">
        <f t="shared" si="49"/>
        <v>-158</v>
      </c>
      <c r="K138" s="324">
        <f t="shared" si="49"/>
        <v>0</v>
      </c>
      <c r="L138" s="107">
        <f t="shared" si="49"/>
        <v>0</v>
      </c>
      <c r="M138" s="107">
        <f t="shared" si="49"/>
        <v>0</v>
      </c>
      <c r="N138" s="107">
        <f t="shared" si="49"/>
        <v>0</v>
      </c>
      <c r="O138" s="321">
        <f t="shared" si="49"/>
        <v>153.3</v>
      </c>
      <c r="P138" s="321">
        <f t="shared" si="49"/>
        <v>4.699999999999989</v>
      </c>
      <c r="Q138" s="324">
        <f t="shared" si="49"/>
        <v>1.030658838878017</v>
      </c>
      <c r="R138" s="321">
        <f t="shared" si="49"/>
        <v>14.87</v>
      </c>
      <c r="S138" s="321">
        <f t="shared" si="49"/>
        <v>-14.87</v>
      </c>
      <c r="T138" s="323">
        <f t="shared" si="49"/>
        <v>0</v>
      </c>
      <c r="U138" s="299"/>
      <c r="V138" s="299"/>
      <c r="W138" s="299"/>
      <c r="X138" s="299"/>
      <c r="Y138" s="264">
        <f t="shared" si="48"/>
        <v>-1.030658838878017</v>
      </c>
    </row>
    <row r="139" spans="1:25" s="6" customFormat="1" ht="30.75" hidden="1">
      <c r="A139" s="8"/>
      <c r="B139" s="255" t="str">
        <f t="shared" si="49"/>
        <v>Штрафні санкції за порушення законодавства про патентування</v>
      </c>
      <c r="C139" s="298">
        <f t="shared" si="49"/>
        <v>21080900</v>
      </c>
      <c r="D139" s="298"/>
      <c r="E139" s="317">
        <f t="shared" si="49"/>
        <v>13</v>
      </c>
      <c r="F139" s="317">
        <f t="shared" si="49"/>
        <v>2</v>
      </c>
      <c r="G139" s="318">
        <f t="shared" si="49"/>
        <v>2.02</v>
      </c>
      <c r="H139" s="317">
        <f t="shared" si="49"/>
        <v>0.020000000000000018</v>
      </c>
      <c r="I139" s="325">
        <f t="shared" si="49"/>
        <v>1.01</v>
      </c>
      <c r="J139" s="317">
        <f t="shared" si="49"/>
        <v>-10.98</v>
      </c>
      <c r="K139" s="325">
        <f t="shared" si="49"/>
        <v>0.1553846153846154</v>
      </c>
      <c r="L139" s="195">
        <f t="shared" si="49"/>
        <v>0</v>
      </c>
      <c r="M139" s="195">
        <f t="shared" si="49"/>
        <v>0</v>
      </c>
      <c r="N139" s="195">
        <f t="shared" si="49"/>
        <v>0</v>
      </c>
      <c r="O139" s="326">
        <f t="shared" si="49"/>
        <v>12.95</v>
      </c>
      <c r="P139" s="326">
        <f t="shared" si="49"/>
        <v>0.05000000000000071</v>
      </c>
      <c r="Q139" s="325">
        <f t="shared" si="49"/>
        <v>1.0038610038610039</v>
      </c>
      <c r="R139" s="326">
        <f t="shared" si="49"/>
        <v>0</v>
      </c>
      <c r="S139" s="326">
        <f t="shared" si="49"/>
        <v>2.02</v>
      </c>
      <c r="T139" s="330">
        <f t="shared" si="49"/>
        <v>0</v>
      </c>
      <c r="U139" s="301"/>
      <c r="V139" s="301"/>
      <c r="W139" s="301"/>
      <c r="X139" s="301"/>
      <c r="Y139" s="264">
        <f t="shared" si="48"/>
        <v>-1.0038610038610039</v>
      </c>
    </row>
    <row r="140" spans="1:25" s="6" customFormat="1" ht="15" hidden="1">
      <c r="A140" s="8"/>
      <c r="B140" s="253" t="str">
        <f t="shared" si="49"/>
        <v>Адмінстративні штрафи та інші санкції</v>
      </c>
      <c r="C140" s="296">
        <f t="shared" si="49"/>
        <v>21081100</v>
      </c>
      <c r="D140" s="296"/>
      <c r="E140" s="312">
        <f t="shared" si="49"/>
        <v>744</v>
      </c>
      <c r="F140" s="312">
        <f t="shared" si="49"/>
        <v>28.43</v>
      </c>
      <c r="G140" s="314">
        <f t="shared" si="49"/>
        <v>28.43</v>
      </c>
      <c r="H140" s="312">
        <f t="shared" si="49"/>
        <v>0</v>
      </c>
      <c r="I140" s="323">
        <f t="shared" si="49"/>
        <v>1</v>
      </c>
      <c r="J140" s="312">
        <f t="shared" si="49"/>
        <v>-715.57</v>
      </c>
      <c r="K140" s="323">
        <f t="shared" si="49"/>
        <v>0.03821236559139785</v>
      </c>
      <c r="L140" s="108">
        <f t="shared" si="49"/>
        <v>0</v>
      </c>
      <c r="M140" s="108">
        <f t="shared" si="49"/>
        <v>0</v>
      </c>
      <c r="N140" s="108">
        <f t="shared" si="49"/>
        <v>0</v>
      </c>
      <c r="O140" s="322">
        <f t="shared" si="49"/>
        <v>705.31</v>
      </c>
      <c r="P140" s="322">
        <f t="shared" si="49"/>
        <v>38.690000000000055</v>
      </c>
      <c r="Q140" s="323">
        <f t="shared" si="49"/>
        <v>1.0548553118486907</v>
      </c>
      <c r="R140" s="322">
        <f t="shared" si="49"/>
        <v>11.17</v>
      </c>
      <c r="S140" s="321">
        <f t="shared" si="49"/>
        <v>17.259999999999998</v>
      </c>
      <c r="T140" s="323">
        <f t="shared" si="49"/>
        <v>2.5452103849597134</v>
      </c>
      <c r="U140" s="300"/>
      <c r="V140" s="300"/>
      <c r="W140" s="300"/>
      <c r="X140" s="300"/>
      <c r="Y140" s="264">
        <f t="shared" si="48"/>
        <v>1.4903550731110227</v>
      </c>
    </row>
    <row r="141" spans="1:25" s="6" customFormat="1" ht="46.5" hidden="1">
      <c r="A141" s="8"/>
      <c r="B141" s="253" t="str">
        <f t="shared" si="49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296">
        <f t="shared" si="49"/>
        <v>21081500</v>
      </c>
      <c r="D141" s="296"/>
      <c r="E141" s="312">
        <f t="shared" si="49"/>
        <v>115.5</v>
      </c>
      <c r="F141" s="312">
        <f t="shared" si="49"/>
        <v>0</v>
      </c>
      <c r="G141" s="314">
        <f t="shared" si="49"/>
        <v>-6.55</v>
      </c>
      <c r="H141" s="312">
        <f t="shared" si="49"/>
        <v>-6.55</v>
      </c>
      <c r="I141" s="323" t="e">
        <f t="shared" si="49"/>
        <v>#DIV/0!</v>
      </c>
      <c r="J141" s="312">
        <f t="shared" si="49"/>
        <v>-122.05</v>
      </c>
      <c r="K141" s="323">
        <f t="shared" si="49"/>
        <v>-0.05670995670995671</v>
      </c>
      <c r="L141" s="108">
        <f t="shared" si="49"/>
        <v>0</v>
      </c>
      <c r="M141" s="108">
        <f t="shared" si="49"/>
        <v>0</v>
      </c>
      <c r="N141" s="108">
        <f t="shared" si="49"/>
        <v>0</v>
      </c>
      <c r="O141" s="322">
        <f t="shared" si="49"/>
        <v>114.3</v>
      </c>
      <c r="P141" s="322">
        <f t="shared" si="49"/>
        <v>1.2000000000000028</v>
      </c>
      <c r="Q141" s="323">
        <f t="shared" si="49"/>
        <v>1.010498687664042</v>
      </c>
      <c r="R141" s="322">
        <f t="shared" si="49"/>
        <v>0</v>
      </c>
      <c r="S141" s="321">
        <f t="shared" si="49"/>
        <v>-6.55</v>
      </c>
      <c r="T141" s="323" t="e">
        <f t="shared" si="49"/>
        <v>#DIV/0!</v>
      </c>
      <c r="U141" s="300"/>
      <c r="V141" s="300"/>
      <c r="W141" s="300"/>
      <c r="X141" s="300"/>
      <c r="Y141" s="264" t="e">
        <f t="shared" si="48"/>
        <v>#DIV/0!</v>
      </c>
    </row>
    <row r="142" spans="1:25" s="6" customFormat="1" ht="46.5" hidden="1">
      <c r="A142" s="8"/>
      <c r="B142" s="253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296" t="str">
        <f>C71</f>
        <v>24030000</v>
      </c>
      <c r="D142" s="296"/>
      <c r="E142" s="312">
        <f aca="true" t="shared" si="50" ref="E142:T142">E71</f>
        <v>3</v>
      </c>
      <c r="F142" s="312">
        <f t="shared" si="50"/>
        <v>0</v>
      </c>
      <c r="G142" s="314">
        <f t="shared" si="50"/>
        <v>0</v>
      </c>
      <c r="H142" s="312">
        <f t="shared" si="50"/>
        <v>0</v>
      </c>
      <c r="I142" s="323" t="e">
        <f t="shared" si="50"/>
        <v>#DIV/0!</v>
      </c>
      <c r="J142" s="312">
        <f t="shared" si="50"/>
        <v>-3</v>
      </c>
      <c r="K142" s="323">
        <f t="shared" si="50"/>
        <v>0</v>
      </c>
      <c r="L142" s="108">
        <f t="shared" si="50"/>
        <v>0</v>
      </c>
      <c r="M142" s="108">
        <f t="shared" si="50"/>
        <v>0</v>
      </c>
      <c r="N142" s="108">
        <f t="shared" si="50"/>
        <v>0</v>
      </c>
      <c r="O142" s="322">
        <f t="shared" si="50"/>
        <v>2.04</v>
      </c>
      <c r="P142" s="322">
        <f t="shared" si="50"/>
        <v>0.96</v>
      </c>
      <c r="Q142" s="323">
        <f t="shared" si="50"/>
        <v>1.4705882352941175</v>
      </c>
      <c r="R142" s="322">
        <f t="shared" si="50"/>
        <v>1.67</v>
      </c>
      <c r="S142" s="321">
        <f t="shared" si="50"/>
        <v>-1.67</v>
      </c>
      <c r="T142" s="323">
        <f t="shared" si="50"/>
        <v>0</v>
      </c>
      <c r="U142" s="300"/>
      <c r="V142" s="300"/>
      <c r="W142" s="300"/>
      <c r="X142" s="300"/>
      <c r="Y142" s="264">
        <f t="shared" si="48"/>
        <v>-1.4705882352941175</v>
      </c>
    </row>
    <row r="143" spans="1:25" s="6" customFormat="1" ht="15" hidden="1">
      <c r="A143" s="8"/>
      <c r="B143" s="259" t="str">
        <f>B77</f>
        <v>Надходження коштів від реалізації безхазяйного майна</v>
      </c>
      <c r="C143" s="296">
        <f>C77</f>
        <v>31010200</v>
      </c>
      <c r="D143" s="296"/>
      <c r="E143" s="319">
        <f aca="true" t="shared" si="51" ref="E143:T144">E77</f>
        <v>35</v>
      </c>
      <c r="F143" s="319">
        <f t="shared" si="51"/>
        <v>3.77</v>
      </c>
      <c r="G143" s="320">
        <f t="shared" si="51"/>
        <v>3.77</v>
      </c>
      <c r="H143" s="319">
        <f t="shared" si="51"/>
        <v>0</v>
      </c>
      <c r="I143" s="309">
        <f t="shared" si="51"/>
        <v>1</v>
      </c>
      <c r="J143" s="319">
        <f t="shared" si="51"/>
        <v>-31.23</v>
      </c>
      <c r="K143" s="309">
        <f t="shared" si="51"/>
        <v>0.10771428571428572</v>
      </c>
      <c r="L143" s="109">
        <f t="shared" si="51"/>
        <v>0</v>
      </c>
      <c r="M143" s="109">
        <f t="shared" si="51"/>
        <v>0</v>
      </c>
      <c r="N143" s="109">
        <f t="shared" si="51"/>
        <v>0</v>
      </c>
      <c r="O143" s="327">
        <f t="shared" si="51"/>
        <v>34.22</v>
      </c>
      <c r="P143" s="327">
        <f t="shared" si="51"/>
        <v>0.7800000000000011</v>
      </c>
      <c r="Q143" s="309">
        <f t="shared" si="51"/>
        <v>1.0227936879018118</v>
      </c>
      <c r="R143" s="327">
        <f t="shared" si="51"/>
        <v>1.49</v>
      </c>
      <c r="S143" s="328">
        <f t="shared" si="51"/>
        <v>2.2800000000000002</v>
      </c>
      <c r="T143" s="309">
        <f t="shared" si="51"/>
        <v>2.530201342281879</v>
      </c>
      <c r="U143" s="302"/>
      <c r="V143" s="302"/>
      <c r="W143" s="302"/>
      <c r="X143" s="302"/>
      <c r="Y143" s="264">
        <f t="shared" si="48"/>
        <v>1.5074076543800674</v>
      </c>
    </row>
    <row r="144" spans="1:25" s="6" customFormat="1" ht="30.75" hidden="1">
      <c r="A144" s="8"/>
      <c r="B144" s="259" t="str">
        <f>B78</f>
        <v>Надходження коштів від Держ фонду дорогоцінних металів та дорогоцінного каміння</v>
      </c>
      <c r="C144" s="296">
        <f>C78</f>
        <v>31020000</v>
      </c>
      <c r="D144" s="296"/>
      <c r="E144" s="319">
        <f t="shared" si="51"/>
        <v>0</v>
      </c>
      <c r="F144" s="319">
        <f t="shared" si="51"/>
        <v>0</v>
      </c>
      <c r="G144" s="320">
        <f t="shared" si="51"/>
        <v>0</v>
      </c>
      <c r="H144" s="319">
        <f t="shared" si="51"/>
        <v>0</v>
      </c>
      <c r="I144" s="309" t="e">
        <f t="shared" si="51"/>
        <v>#DIV/0!</v>
      </c>
      <c r="J144" s="319">
        <f t="shared" si="51"/>
        <v>0</v>
      </c>
      <c r="K144" s="309">
        <f t="shared" si="51"/>
        <v>0</v>
      </c>
      <c r="L144" s="109">
        <f t="shared" si="51"/>
        <v>0</v>
      </c>
      <c r="M144" s="109">
        <f t="shared" si="51"/>
        <v>0</v>
      </c>
      <c r="N144" s="109">
        <f t="shared" si="51"/>
        <v>0</v>
      </c>
      <c r="O144" s="327">
        <f t="shared" si="51"/>
        <v>-4.86</v>
      </c>
      <c r="P144" s="327">
        <f t="shared" si="51"/>
        <v>4.86</v>
      </c>
      <c r="Q144" s="309">
        <f t="shared" si="51"/>
        <v>0</v>
      </c>
      <c r="R144" s="327">
        <f t="shared" si="51"/>
        <v>0</v>
      </c>
      <c r="S144" s="328">
        <f t="shared" si="51"/>
        <v>0</v>
      </c>
      <c r="T144" s="309" t="e">
        <f t="shared" si="51"/>
        <v>#DIV/0!</v>
      </c>
      <c r="U144" s="302"/>
      <c r="V144" s="302"/>
      <c r="W144" s="302"/>
      <c r="X144" s="302"/>
      <c r="Y144" s="264" t="e">
        <f t="shared" si="48"/>
        <v>#DIV/0!</v>
      </c>
    </row>
    <row r="145" spans="5:25" ht="15" hidden="1">
      <c r="E145" s="306">
        <f>E136+E137+E138+E139+E140+E141+E142+E143+E144</f>
        <v>1304.1</v>
      </c>
      <c r="F145" s="306">
        <f>F136+F137+F138+F139+F140+F141+F142+F143+F144</f>
        <v>34.2</v>
      </c>
      <c r="G145" s="307">
        <f>G136+G137+G138+G139+G140+G141+G142+G143+G144</f>
        <v>27.669999999999998</v>
      </c>
      <c r="H145" s="306">
        <f>G145-F145</f>
        <v>-6.530000000000005</v>
      </c>
      <c r="I145" s="241">
        <f>G145/F145</f>
        <v>0.80906432748538</v>
      </c>
      <c r="J145" s="306">
        <f>G145-E145</f>
        <v>-1276.4299999999998</v>
      </c>
      <c r="K145" s="241">
        <f>G145/E145</f>
        <v>0.021217698029292232</v>
      </c>
      <c r="L145" s="82"/>
      <c r="M145" s="82"/>
      <c r="N145" s="82"/>
      <c r="O145" s="306">
        <f>O136+O137+O138+O139+O140+O141+O142+O143+O144</f>
        <v>1238.34</v>
      </c>
      <c r="P145" s="306">
        <f>E145-O145</f>
        <v>65.75999999999999</v>
      </c>
      <c r="Q145" s="241">
        <f>E145/O145</f>
        <v>1.053103348030428</v>
      </c>
      <c r="R145" s="306">
        <f>R136+R137+R138+R139+R140+R141+R142+R143+R144</f>
        <v>29.2</v>
      </c>
      <c r="S145" s="306">
        <f>G145-R145</f>
        <v>-1.5300000000000011</v>
      </c>
      <c r="T145" s="329">
        <f>G145/R145</f>
        <v>0.9476027397260274</v>
      </c>
      <c r="U145" s="303"/>
      <c r="V145" s="303"/>
      <c r="W145" s="303"/>
      <c r="X145" s="303"/>
      <c r="Y145" s="267">
        <f t="shared" si="48"/>
        <v>-0.10550060830440056</v>
      </c>
    </row>
    <row r="146" spans="20:25" ht="15" hidden="1">
      <c r="T146" s="64"/>
      <c r="U146" s="303"/>
      <c r="V146" s="303"/>
      <c r="W146" s="303"/>
      <c r="X146" s="303"/>
      <c r="Y146" s="264"/>
    </row>
    <row r="147" spans="2:25" ht="15" hidden="1">
      <c r="B147" s="219" t="s">
        <v>131</v>
      </c>
      <c r="T147" s="64"/>
      <c r="U147" s="303"/>
      <c r="V147" s="303"/>
      <c r="W147" s="303"/>
      <c r="X147" s="303"/>
      <c r="Y147" s="264"/>
    </row>
    <row r="148" spans="1:25" s="6" customFormat="1" ht="30.75" hidden="1">
      <c r="A148" s="8"/>
      <c r="B148" s="251" t="str">
        <f aca="true" t="shared" si="52" ref="B148:T152">B60</f>
        <v>Адміністративний збір за проведення державної реєстрації юридичних осіб та фізичних осіб - підпр</v>
      </c>
      <c r="C148" s="293">
        <f t="shared" si="52"/>
        <v>22010300</v>
      </c>
      <c r="D148" s="293"/>
      <c r="E148" s="312">
        <f t="shared" si="52"/>
        <v>1284</v>
      </c>
      <c r="F148" s="312">
        <f t="shared" si="52"/>
        <v>89.19</v>
      </c>
      <c r="G148" s="314">
        <f t="shared" si="52"/>
        <v>89.19</v>
      </c>
      <c r="H148" s="312">
        <f t="shared" si="52"/>
        <v>0</v>
      </c>
      <c r="I148" s="310">
        <f t="shared" si="52"/>
        <v>1</v>
      </c>
      <c r="J148" s="312">
        <f t="shared" si="52"/>
        <v>-1194.81</v>
      </c>
      <c r="K148" s="310">
        <f t="shared" si="52"/>
        <v>0.0694626168224299</v>
      </c>
      <c r="L148" s="108">
        <f t="shared" si="52"/>
        <v>0</v>
      </c>
      <c r="M148" s="108">
        <f t="shared" si="52"/>
        <v>0</v>
      </c>
      <c r="N148" s="108">
        <f t="shared" si="52"/>
        <v>0</v>
      </c>
      <c r="O148" s="312">
        <f t="shared" si="52"/>
        <v>1205.14</v>
      </c>
      <c r="P148" s="312">
        <f t="shared" si="52"/>
        <v>78.8599999999999</v>
      </c>
      <c r="Q148" s="310">
        <f t="shared" si="52"/>
        <v>1.0654363808354215</v>
      </c>
      <c r="R148" s="312">
        <f t="shared" si="52"/>
        <v>89.45</v>
      </c>
      <c r="S148" s="315">
        <f t="shared" si="52"/>
        <v>-0.2600000000000051</v>
      </c>
      <c r="T148" s="310">
        <f t="shared" si="52"/>
        <v>0.9970933482392398</v>
      </c>
      <c r="U148" s="300"/>
      <c r="V148" s="300"/>
      <c r="W148" s="300"/>
      <c r="X148" s="300"/>
      <c r="Y148" s="264">
        <f aca="true" t="shared" si="53" ref="Y148:Y153">T148-Q148</f>
        <v>-0.06834303259618169</v>
      </c>
    </row>
    <row r="149" spans="1:25" s="6" customFormat="1" ht="15" hidden="1">
      <c r="A149" s="8"/>
      <c r="B149" s="251" t="str">
        <f t="shared" si="52"/>
        <v>Плата за сертифікати</v>
      </c>
      <c r="C149" s="293">
        <f t="shared" si="52"/>
        <v>22010200</v>
      </c>
      <c r="D149" s="293"/>
      <c r="E149" s="312">
        <f t="shared" si="52"/>
        <v>0</v>
      </c>
      <c r="F149" s="312">
        <f t="shared" si="52"/>
        <v>0</v>
      </c>
      <c r="G149" s="314">
        <f t="shared" si="52"/>
        <v>0</v>
      </c>
      <c r="H149" s="312">
        <f t="shared" si="52"/>
        <v>0</v>
      </c>
      <c r="I149" s="310" t="e">
        <f t="shared" si="52"/>
        <v>#DIV/0!</v>
      </c>
      <c r="J149" s="312">
        <f t="shared" si="52"/>
        <v>0</v>
      </c>
      <c r="K149" s="310" t="e">
        <f t="shared" si="52"/>
        <v>#DIV/0!</v>
      </c>
      <c r="L149" s="108">
        <f t="shared" si="52"/>
        <v>0</v>
      </c>
      <c r="M149" s="108">
        <f t="shared" si="52"/>
        <v>0</v>
      </c>
      <c r="N149" s="108">
        <f t="shared" si="52"/>
        <v>0</v>
      </c>
      <c r="O149" s="312">
        <f t="shared" si="52"/>
        <v>23.38</v>
      </c>
      <c r="P149" s="312">
        <f t="shared" si="52"/>
        <v>-23.38</v>
      </c>
      <c r="Q149" s="310">
        <f t="shared" si="52"/>
        <v>0</v>
      </c>
      <c r="R149" s="312">
        <f t="shared" si="52"/>
        <v>0</v>
      </c>
      <c r="S149" s="315">
        <f t="shared" si="52"/>
        <v>0</v>
      </c>
      <c r="T149" s="310">
        <f t="shared" si="52"/>
        <v>0</v>
      </c>
      <c r="U149" s="300"/>
      <c r="V149" s="300"/>
      <c r="W149" s="300"/>
      <c r="X149" s="300"/>
      <c r="Y149" s="264">
        <f t="shared" si="53"/>
        <v>0</v>
      </c>
    </row>
    <row r="150" spans="1:25" s="6" customFormat="1" ht="15" hidden="1">
      <c r="A150" s="8"/>
      <c r="B150" s="257" t="str">
        <f t="shared" si="52"/>
        <v>Плата за надання інших адміністративних послуг</v>
      </c>
      <c r="C150" s="294">
        <f t="shared" si="52"/>
        <v>22012500</v>
      </c>
      <c r="D150" s="294"/>
      <c r="E150" s="313">
        <f t="shared" si="52"/>
        <v>21260</v>
      </c>
      <c r="F150" s="313">
        <f t="shared" si="52"/>
        <v>1890</v>
      </c>
      <c r="G150" s="331">
        <f t="shared" si="52"/>
        <v>1894.1</v>
      </c>
      <c r="H150" s="313">
        <f t="shared" si="52"/>
        <v>4.099999999999909</v>
      </c>
      <c r="I150" s="311">
        <f t="shared" si="52"/>
        <v>1.002169312169312</v>
      </c>
      <c r="J150" s="313">
        <f t="shared" si="52"/>
        <v>-19365.9</v>
      </c>
      <c r="K150" s="311">
        <f t="shared" si="52"/>
        <v>0.08909219190968955</v>
      </c>
      <c r="L150" s="30">
        <f t="shared" si="52"/>
        <v>0</v>
      </c>
      <c r="M150" s="30">
        <f t="shared" si="52"/>
        <v>0</v>
      </c>
      <c r="N150" s="30">
        <f t="shared" si="52"/>
        <v>0</v>
      </c>
      <c r="O150" s="313">
        <f t="shared" si="52"/>
        <v>20110.14</v>
      </c>
      <c r="P150" s="313">
        <f t="shared" si="52"/>
        <v>1149.8600000000006</v>
      </c>
      <c r="Q150" s="311">
        <f t="shared" si="52"/>
        <v>1.0571781200926498</v>
      </c>
      <c r="R150" s="313">
        <f t="shared" si="52"/>
        <v>1052.56</v>
      </c>
      <c r="S150" s="332">
        <f t="shared" si="52"/>
        <v>841.54</v>
      </c>
      <c r="T150" s="311">
        <f t="shared" si="52"/>
        <v>1.7995173671809683</v>
      </c>
      <c r="U150" s="304"/>
      <c r="V150" s="304"/>
      <c r="W150" s="304"/>
      <c r="X150" s="304"/>
      <c r="Y150" s="264">
        <f t="shared" si="53"/>
        <v>0.7423392470883186</v>
      </c>
    </row>
    <row r="151" spans="1:25" s="6" customFormat="1" ht="30.75" hidden="1">
      <c r="A151" s="8"/>
      <c r="B151" s="257" t="str">
        <f t="shared" si="52"/>
        <v>Адміністративний збір за державну реєстрацію речових прав на нерухоме майно та їх обтяжень</v>
      </c>
      <c r="C151" s="294">
        <f t="shared" si="52"/>
        <v>22012600</v>
      </c>
      <c r="D151" s="294"/>
      <c r="E151" s="313">
        <f t="shared" si="52"/>
        <v>767</v>
      </c>
      <c r="F151" s="313">
        <f t="shared" si="52"/>
        <v>57</v>
      </c>
      <c r="G151" s="331">
        <f t="shared" si="52"/>
        <v>59.37</v>
      </c>
      <c r="H151" s="313">
        <f t="shared" si="52"/>
        <v>2.3699999999999974</v>
      </c>
      <c r="I151" s="311">
        <f t="shared" si="52"/>
        <v>1.041578947368421</v>
      </c>
      <c r="J151" s="313">
        <f t="shared" si="52"/>
        <v>-707.63</v>
      </c>
      <c r="K151" s="311">
        <f t="shared" si="52"/>
        <v>0.07740547588005214</v>
      </c>
      <c r="L151" s="30">
        <f t="shared" si="52"/>
        <v>0</v>
      </c>
      <c r="M151" s="30">
        <f t="shared" si="52"/>
        <v>0</v>
      </c>
      <c r="N151" s="30">
        <f t="shared" si="52"/>
        <v>0</v>
      </c>
      <c r="O151" s="313">
        <f t="shared" si="52"/>
        <v>710.04</v>
      </c>
      <c r="P151" s="313">
        <f t="shared" si="52"/>
        <v>56.960000000000036</v>
      </c>
      <c r="Q151" s="311">
        <f t="shared" si="52"/>
        <v>1.0802208326291478</v>
      </c>
      <c r="R151" s="313">
        <f t="shared" si="52"/>
        <v>44.53</v>
      </c>
      <c r="S151" s="332">
        <f t="shared" si="52"/>
        <v>14.839999999999996</v>
      </c>
      <c r="T151" s="311">
        <f t="shared" si="52"/>
        <v>1.3332584774309453</v>
      </c>
      <c r="U151" s="304"/>
      <c r="V151" s="304"/>
      <c r="W151" s="304"/>
      <c r="X151" s="304"/>
      <c r="Y151" s="264">
        <f t="shared" si="53"/>
        <v>0.25303764480179747</v>
      </c>
    </row>
    <row r="152" spans="1:25" s="6" customFormat="1" ht="30.75" hidden="1">
      <c r="A152" s="8"/>
      <c r="B152" s="257" t="str">
        <f t="shared" si="52"/>
        <v>Плата за скорочення термінів надання послуг у сфері державної реєстрації речових прав на нерухоме майно</v>
      </c>
      <c r="C152" s="294">
        <f t="shared" si="52"/>
        <v>22012900</v>
      </c>
      <c r="D152" s="294"/>
      <c r="E152" s="313">
        <f t="shared" si="52"/>
        <v>44</v>
      </c>
      <c r="F152" s="313">
        <f t="shared" si="52"/>
        <v>1</v>
      </c>
      <c r="G152" s="331">
        <f t="shared" si="52"/>
        <v>1.06</v>
      </c>
      <c r="H152" s="313">
        <f t="shared" si="52"/>
        <v>0.06000000000000005</v>
      </c>
      <c r="I152" s="311">
        <f t="shared" si="52"/>
        <v>1.06</v>
      </c>
      <c r="J152" s="313">
        <f t="shared" si="52"/>
        <v>-42.94</v>
      </c>
      <c r="K152" s="311">
        <f t="shared" si="52"/>
        <v>0.024090909090909093</v>
      </c>
      <c r="L152" s="30">
        <f t="shared" si="52"/>
        <v>0</v>
      </c>
      <c r="M152" s="30">
        <f t="shared" si="52"/>
        <v>0</v>
      </c>
      <c r="N152" s="30">
        <f t="shared" si="52"/>
        <v>0</v>
      </c>
      <c r="O152" s="313">
        <f t="shared" si="52"/>
        <v>41.44</v>
      </c>
      <c r="P152" s="313">
        <f t="shared" si="52"/>
        <v>2.5600000000000023</v>
      </c>
      <c r="Q152" s="311">
        <f t="shared" si="52"/>
        <v>1.0617760617760619</v>
      </c>
      <c r="R152" s="313">
        <f t="shared" si="52"/>
        <v>0</v>
      </c>
      <c r="S152" s="332">
        <f t="shared" si="52"/>
        <v>1.06</v>
      </c>
      <c r="T152" s="311" t="e">
        <f t="shared" si="52"/>
        <v>#DIV/0!</v>
      </c>
      <c r="U152" s="304"/>
      <c r="V152" s="304"/>
      <c r="W152" s="304"/>
      <c r="X152" s="304"/>
      <c r="Y152" s="264" t="e">
        <f t="shared" si="53"/>
        <v>#DIV/0!</v>
      </c>
    </row>
    <row r="153" spans="2:25" ht="15" hidden="1">
      <c r="B153" s="219" t="s">
        <v>131</v>
      </c>
      <c r="C153" s="336">
        <v>22010000</v>
      </c>
      <c r="D153" s="336"/>
      <c r="E153" s="306">
        <f>E148+E149+E150+E151+E152</f>
        <v>23355</v>
      </c>
      <c r="F153" s="306">
        <f>F148+F149+F150+F151+F152</f>
        <v>2037.19</v>
      </c>
      <c r="G153" s="307">
        <f>G148+G149+G150+G151+G152</f>
        <v>2043.7199999999998</v>
      </c>
      <c r="H153" s="306">
        <f>G153-F153</f>
        <v>6.529999999999745</v>
      </c>
      <c r="I153" s="241">
        <f>G153/F153</f>
        <v>1.0032053956675615</v>
      </c>
      <c r="J153" s="306">
        <f>G153-E153</f>
        <v>-21311.28</v>
      </c>
      <c r="K153" s="241">
        <f>G153/E153</f>
        <v>0.0875067437379576</v>
      </c>
      <c r="L153" s="82"/>
      <c r="M153" s="82"/>
      <c r="N153" s="82"/>
      <c r="O153" s="306">
        <f>O148+O149+O150+O151+O152</f>
        <v>22090.14</v>
      </c>
      <c r="P153" s="306">
        <f>E153-O153</f>
        <v>1264.8600000000006</v>
      </c>
      <c r="Q153" s="241">
        <f>E153/O153</f>
        <v>1.0572590304995804</v>
      </c>
      <c r="R153" s="306">
        <f>R148+R149+R150+R151+R152</f>
        <v>1186.54</v>
      </c>
      <c r="S153" s="306">
        <f>G153-R153</f>
        <v>857.1799999999998</v>
      </c>
      <c r="T153" s="241">
        <f>G153/R153</f>
        <v>1.7224198088560014</v>
      </c>
      <c r="U153" s="303"/>
      <c r="V153" s="303"/>
      <c r="W153" s="303"/>
      <c r="X153" s="303"/>
      <c r="Y153" s="267">
        <f t="shared" si="53"/>
        <v>0.6651607783564211</v>
      </c>
    </row>
    <row r="154" spans="21:25" ht="15" hidden="1">
      <c r="U154" s="303"/>
      <c r="V154" s="303"/>
      <c r="W154" s="303"/>
      <c r="X154" s="303"/>
      <c r="Y154" s="264"/>
    </row>
    <row r="155" spans="21:25" ht="15" hidden="1">
      <c r="U155" s="303"/>
      <c r="V155" s="303"/>
      <c r="W155" s="303"/>
      <c r="X155" s="303"/>
      <c r="Y155" s="264"/>
    </row>
    <row r="156" spans="2:25" ht="15" hidden="1">
      <c r="B156" s="219" t="s">
        <v>144</v>
      </c>
      <c r="U156" s="303"/>
      <c r="V156" s="303"/>
      <c r="W156" s="303"/>
      <c r="X156" s="303"/>
      <c r="Y156" s="264"/>
    </row>
    <row r="157" spans="1:25" s="6" customFormat="1" ht="15.75" customHeight="1" hidden="1">
      <c r="A157" s="8"/>
      <c r="B157" s="258" t="str">
        <f>B72</f>
        <v>Інші надходження</v>
      </c>
      <c r="C157" s="296" t="str">
        <f>C72</f>
        <v>24060300</v>
      </c>
      <c r="D157" s="296"/>
      <c r="E157" s="327">
        <f aca="true" t="shared" si="54" ref="E157:T157">E72</f>
        <v>8170</v>
      </c>
      <c r="F157" s="327">
        <f t="shared" si="54"/>
        <v>568.65</v>
      </c>
      <c r="G157" s="333">
        <f t="shared" si="54"/>
        <v>568.65</v>
      </c>
      <c r="H157" s="327">
        <f t="shared" si="54"/>
        <v>0</v>
      </c>
      <c r="I157" s="309">
        <f t="shared" si="54"/>
        <v>1</v>
      </c>
      <c r="J157" s="327">
        <f t="shared" si="54"/>
        <v>-7601.35</v>
      </c>
      <c r="K157" s="309">
        <f t="shared" si="54"/>
        <v>0.06960220318237453</v>
      </c>
      <c r="L157" s="295">
        <f t="shared" si="54"/>
        <v>0</v>
      </c>
      <c r="M157" s="295">
        <f t="shared" si="54"/>
        <v>0</v>
      </c>
      <c r="N157" s="295">
        <f t="shared" si="54"/>
        <v>0</v>
      </c>
      <c r="O157" s="327">
        <f t="shared" si="54"/>
        <v>8086.92</v>
      </c>
      <c r="P157" s="327">
        <f t="shared" si="54"/>
        <v>83.07999999999993</v>
      </c>
      <c r="Q157" s="309">
        <f t="shared" si="54"/>
        <v>1.0102733797292418</v>
      </c>
      <c r="R157" s="327">
        <f t="shared" si="54"/>
        <v>2247.33</v>
      </c>
      <c r="S157" s="327">
        <f t="shared" si="54"/>
        <v>-1678.6799999999998</v>
      </c>
      <c r="T157" s="309">
        <f t="shared" si="54"/>
        <v>0.2530335998718479</v>
      </c>
      <c r="U157" s="305"/>
      <c r="V157" s="305"/>
      <c r="W157" s="305"/>
      <c r="X157" s="305"/>
      <c r="Y157" s="264">
        <f>T157-Q157</f>
        <v>-0.7572397798573939</v>
      </c>
    </row>
    <row r="158" spans="1:25" s="6" customFormat="1" ht="44.25" customHeight="1" hidden="1">
      <c r="A158" s="8"/>
      <c r="B158" s="258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296">
        <f>C76</f>
        <v>24061900</v>
      </c>
      <c r="D158" s="296"/>
      <c r="E158" s="327">
        <f aca="true" t="shared" si="55" ref="E158:T158">E76</f>
        <v>174.4</v>
      </c>
      <c r="F158" s="327">
        <f t="shared" si="55"/>
        <v>0</v>
      </c>
      <c r="G158" s="333">
        <f t="shared" si="55"/>
        <v>0</v>
      </c>
      <c r="H158" s="327">
        <f t="shared" si="55"/>
        <v>0</v>
      </c>
      <c r="I158" s="309" t="e">
        <f t="shared" si="55"/>
        <v>#DIV/0!</v>
      </c>
      <c r="J158" s="327">
        <f t="shared" si="55"/>
        <v>-174.4</v>
      </c>
      <c r="K158" s="309">
        <f t="shared" si="55"/>
        <v>0</v>
      </c>
      <c r="L158" s="295">
        <f t="shared" si="55"/>
        <v>0</v>
      </c>
      <c r="M158" s="295">
        <f t="shared" si="55"/>
        <v>0</v>
      </c>
      <c r="N158" s="295">
        <f t="shared" si="55"/>
        <v>0</v>
      </c>
      <c r="O158" s="327">
        <f t="shared" si="55"/>
        <v>142.18</v>
      </c>
      <c r="P158" s="327">
        <f t="shared" si="55"/>
        <v>32.22</v>
      </c>
      <c r="Q158" s="309">
        <f t="shared" si="55"/>
        <v>1.2266141510761006</v>
      </c>
      <c r="R158" s="327">
        <f t="shared" si="55"/>
        <v>32.89</v>
      </c>
      <c r="S158" s="327">
        <f t="shared" si="55"/>
        <v>-32.89</v>
      </c>
      <c r="T158" s="309">
        <f t="shared" si="55"/>
        <v>0</v>
      </c>
      <c r="U158" s="305"/>
      <c r="V158" s="305"/>
      <c r="W158" s="305"/>
      <c r="X158" s="305"/>
      <c r="Y158" s="264">
        <f>T158-Q158</f>
        <v>-1.2266141510761006</v>
      </c>
    </row>
    <row r="159" spans="2:25" ht="15" hidden="1">
      <c r="B159" s="219" t="s">
        <v>144</v>
      </c>
      <c r="C159" s="335">
        <v>24060000</v>
      </c>
      <c r="D159" s="340"/>
      <c r="E159" s="306">
        <f>E157+E158</f>
        <v>8344.4</v>
      </c>
      <c r="F159" s="306">
        <f>F157+F158</f>
        <v>568.65</v>
      </c>
      <c r="G159" s="307">
        <f>G157+G158</f>
        <v>568.65</v>
      </c>
      <c r="H159" s="308">
        <f>G159-F159</f>
        <v>0</v>
      </c>
      <c r="I159" s="241">
        <f>G159/F159</f>
        <v>1</v>
      </c>
      <c r="J159" s="306">
        <f>G159-E159</f>
        <v>-7775.75</v>
      </c>
      <c r="K159" s="241">
        <f>G159/E159</f>
        <v>0.06814750011984085</v>
      </c>
      <c r="L159" s="82"/>
      <c r="M159" s="82"/>
      <c r="N159" s="82"/>
      <c r="O159" s="306">
        <f>O157+O158</f>
        <v>8229.1</v>
      </c>
      <c r="P159" s="306">
        <f>E159-O159</f>
        <v>115.29999999999927</v>
      </c>
      <c r="Q159" s="241">
        <f>E159/O159</f>
        <v>1.0140112527493892</v>
      </c>
      <c r="R159" s="306">
        <f>R157+R158</f>
        <v>2280.22</v>
      </c>
      <c r="S159" s="306">
        <f>G159-R159</f>
        <v>-1711.5699999999997</v>
      </c>
      <c r="T159" s="241">
        <f>G159/R159</f>
        <v>0.24938383138469097</v>
      </c>
      <c r="U159" s="303"/>
      <c r="V159" s="303"/>
      <c r="W159" s="303"/>
      <c r="X159" s="303"/>
      <c r="Y159" s="267">
        <f>T159-Q159</f>
        <v>-0.7646274213646982</v>
      </c>
    </row>
    <row r="160" spans="21:24" ht="15" hidden="1">
      <c r="U160" s="303"/>
      <c r="V160" s="303"/>
      <c r="W160" s="303"/>
      <c r="X160" s="303"/>
    </row>
    <row r="161" spans="21:24" ht="15" hidden="1">
      <c r="U161" s="303"/>
      <c r="V161" s="303"/>
      <c r="W161" s="303"/>
      <c r="X161" s="303"/>
    </row>
    <row r="162" spans="21:24" ht="15" hidden="1">
      <c r="U162" s="303"/>
      <c r="V162" s="303"/>
      <c r="W162" s="303"/>
      <c r="X162" s="303"/>
    </row>
    <row r="163" spans="21:24" ht="15" hidden="1">
      <c r="U163" s="303"/>
      <c r="V163" s="303"/>
      <c r="W163" s="303"/>
      <c r="X163" s="303"/>
    </row>
    <row r="164" spans="21:24" ht="15" hidden="1">
      <c r="U164" s="303"/>
      <c r="V164" s="303"/>
      <c r="W164" s="303"/>
      <c r="X164" s="303"/>
    </row>
    <row r="165" spans="21:24" ht="15" hidden="1">
      <c r="U165" s="303"/>
      <c r="V165" s="303"/>
      <c r="W165" s="303"/>
      <c r="X165" s="303"/>
    </row>
    <row r="166" spans="21:24" ht="15">
      <c r="U166" s="303"/>
      <c r="V166" s="303"/>
      <c r="W166" s="303"/>
      <c r="X166" s="303"/>
    </row>
    <row r="167" spans="21:24" ht="15">
      <c r="U167" s="303"/>
      <c r="V167" s="303"/>
      <c r="W167" s="303"/>
      <c r="X167" s="303"/>
    </row>
    <row r="168" spans="21:24" ht="15">
      <c r="U168" s="303"/>
      <c r="V168" s="303"/>
      <c r="W168" s="303"/>
      <c r="X168" s="303"/>
    </row>
  </sheetData>
  <sheetProtection/>
  <mergeCells count="35"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V3:X3"/>
    <mergeCell ref="W4:W5"/>
    <mergeCell ref="X4:X5"/>
    <mergeCell ref="L5:N5"/>
    <mergeCell ref="O5:Q5"/>
    <mergeCell ref="R5:T5"/>
    <mergeCell ref="H104:K104"/>
    <mergeCell ref="H4:H5"/>
    <mergeCell ref="I4:I5"/>
    <mergeCell ref="J4:J5"/>
    <mergeCell ref="K4:K5"/>
    <mergeCell ref="V113:W113"/>
    <mergeCell ref="V105:W105"/>
    <mergeCell ref="H106:I106"/>
    <mergeCell ref="V106:W106"/>
    <mergeCell ref="H107:I107"/>
    <mergeCell ref="V107:W107"/>
    <mergeCell ref="H108:I108"/>
    <mergeCell ref="D3:D5"/>
    <mergeCell ref="B109:C109"/>
    <mergeCell ref="H109:I109"/>
    <mergeCell ref="H110:I110"/>
    <mergeCell ref="B111:C111"/>
    <mergeCell ref="H111:I111"/>
    <mergeCell ref="G4:G5"/>
    <mergeCell ref="F4:F5"/>
  </mergeCells>
  <printOptions/>
  <pageMargins left="0.7086614173228347" right="0" top="0.15748031496062992" bottom="0" header="0" footer="0"/>
  <pageSetup fitToHeight="1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2018-02-15T09:40:59Z</cp:lastPrinted>
  <dcterms:created xsi:type="dcterms:W3CDTF">2003-07-28T11:27:56Z</dcterms:created>
  <dcterms:modified xsi:type="dcterms:W3CDTF">2018-02-15T14:04:03Z</dcterms:modified>
  <cp:category/>
  <cp:version/>
  <cp:contentType/>
  <cp:contentStatus/>
</cp:coreProperties>
</file>